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01" activeTab="3"/>
  </bookViews>
  <sheets>
    <sheet name="2019-2020" sheetId="1" r:id="rId1"/>
    <sheet name="January'20-June'20" sheetId="2" r:id="rId2"/>
    <sheet name="July'20-December'20" sheetId="3" r:id="rId3"/>
    <sheet name="District Wise" sheetId="4" r:id="rId4"/>
    <sheet name="Weekly Procurement_16_PADDY" sheetId="5" state="hidden" r:id="rId5"/>
    <sheet name="Weekly Procurement_16_WHEAT" sheetId="6" state="hidden" r:id="rId6"/>
    <sheet name="Offtake" sheetId="7" state="hidden" r:id="rId7"/>
    <sheet name="District wise stock" sheetId="8" state="hidden" r:id="rId8"/>
    <sheet name="District wise Market Price" sheetId="9" state="hidden" r:id="rId9"/>
    <sheet name="District Wise Procurement" sheetId="10" state="hidden" r:id="rId10"/>
    <sheet name="District Wise Offtake" sheetId="11" state="hidden" r:id="rId11"/>
    <sheet name="District Wise Procurement_ATOP" sheetId="12" state="hidden" r:id="rId12"/>
    <sheet name="Weekly_Procurement_Atop_15" sheetId="13" state="hidden" r:id="rId13"/>
    <sheet name="Weekly_PADDY_MILLING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<sst xmlns="http://schemas.openxmlformats.org/spreadsheetml/2006/main" count="935" uniqueCount="317">
  <si>
    <t>cb¨ t-</t>
  </si>
  <si>
    <t>ivRkvnx</t>
  </si>
  <si>
    <t>PuvcvBbeveMÄ</t>
  </si>
  <si>
    <t>bIMuv</t>
  </si>
  <si>
    <t>bv‡Uvi</t>
  </si>
  <si>
    <t>e¸ov</t>
  </si>
  <si>
    <t>wmivRMÄ</t>
  </si>
  <si>
    <t>RqcyinvU</t>
  </si>
  <si>
    <t>cvebv</t>
  </si>
  <si>
    <t>‡gvU</t>
  </si>
  <si>
    <t>Ab¨ †K›`ª n‡Z cÖvwß</t>
  </si>
  <si>
    <t>msMÖn</t>
  </si>
  <si>
    <t>wewae× †ikb</t>
  </si>
  <si>
    <t>kÖg eûj cÖwZôvb</t>
  </si>
  <si>
    <t>AvUv Pvw°</t>
  </si>
  <si>
    <t>Ab¨vb¨</t>
  </si>
  <si>
    <t>Kv‡Ri wewbg‡q Lv`¨</t>
  </si>
  <si>
    <t>‡Uó wiwjd</t>
  </si>
  <si>
    <t>AeMwZ I cÖ‡qvRbxq e¨e¯’v MÖn‡Yi Rb¨ †cÖwiZ-</t>
  </si>
  <si>
    <t>1| cwiPvjK, mieivn, e¨e¯’vcK (gwbUwis)</t>
  </si>
  <si>
    <t>cÖ¯‘ZKvix</t>
  </si>
  <si>
    <t>bvg</t>
  </si>
  <si>
    <t>¯^v¶i</t>
  </si>
  <si>
    <t>cÖwZ‡e`bKvix Kg©KZ©v</t>
  </si>
  <si>
    <t>Awdm wmj</t>
  </si>
  <si>
    <t>wmj</t>
  </si>
  <si>
    <t>Mg</t>
  </si>
  <si>
    <t>Page-3</t>
  </si>
  <si>
    <t>DISTRICT WISE NATIONAL STOCK REPORT</t>
  </si>
  <si>
    <t>Fig. in MT.</t>
  </si>
  <si>
    <t>RAJSHAHI REGION : (16 DISTRICTS )</t>
  </si>
  <si>
    <t>CODE</t>
  </si>
  <si>
    <t>DISTRICT</t>
  </si>
  <si>
    <t>No. of U.Zilla</t>
  </si>
  <si>
    <t>No. of LSD/CSD</t>
  </si>
  <si>
    <t xml:space="preserve">PADDY </t>
  </si>
  <si>
    <t>RICE</t>
  </si>
  <si>
    <t>WHEAT</t>
  </si>
  <si>
    <t xml:space="preserve"> Total STOCK</t>
  </si>
  <si>
    <t xml:space="preserve">CAPACITY </t>
  </si>
  <si>
    <t>E/Capacity</t>
  </si>
  <si>
    <t>S. Available</t>
  </si>
  <si>
    <t>8 ( 5+6+7)</t>
  </si>
  <si>
    <t>01</t>
  </si>
  <si>
    <t>Dinajpur</t>
  </si>
  <si>
    <t>02</t>
  </si>
  <si>
    <t>Thakurgaon</t>
  </si>
  <si>
    <t>03</t>
  </si>
  <si>
    <t>Panchagarh</t>
  </si>
  <si>
    <t>04</t>
  </si>
  <si>
    <t>Rangpur</t>
  </si>
  <si>
    <t>05</t>
  </si>
  <si>
    <t>Lalmonirhat</t>
  </si>
  <si>
    <t>06</t>
  </si>
  <si>
    <t>Kurigram</t>
  </si>
  <si>
    <t>07</t>
  </si>
  <si>
    <t>Gaibanda</t>
  </si>
  <si>
    <t>08</t>
  </si>
  <si>
    <t>Nilphamari</t>
  </si>
  <si>
    <t>09</t>
  </si>
  <si>
    <t>Bogra</t>
  </si>
  <si>
    <t>10</t>
  </si>
  <si>
    <t>Joypurhat</t>
  </si>
  <si>
    <t>11</t>
  </si>
  <si>
    <t>Rajshahi</t>
  </si>
  <si>
    <t>12</t>
  </si>
  <si>
    <t>Natore</t>
  </si>
  <si>
    <t>13</t>
  </si>
  <si>
    <t>Naogaon</t>
  </si>
  <si>
    <t>14</t>
  </si>
  <si>
    <t>Nowabgonj</t>
  </si>
  <si>
    <t>15</t>
  </si>
  <si>
    <t>Pabna</t>
  </si>
  <si>
    <t>16</t>
  </si>
  <si>
    <t>Sirajgonj</t>
  </si>
  <si>
    <t>LSD/CSD Total</t>
  </si>
  <si>
    <t>Santahar Silo</t>
  </si>
  <si>
    <t>Regional Total</t>
  </si>
  <si>
    <t>SUMMARY OF STOCK/STORAGE POSITION ( MT)</t>
  </si>
  <si>
    <t>TOTAL</t>
  </si>
  <si>
    <t>Total LSD/CSD</t>
  </si>
  <si>
    <t>Total Silos</t>
  </si>
  <si>
    <t>Div./Dist.Total=</t>
  </si>
  <si>
    <t>REGIONAL STOCK / STORAGE REPORT</t>
  </si>
  <si>
    <t>Sl No.</t>
  </si>
  <si>
    <t>Region</t>
  </si>
  <si>
    <t>No. of LSD/</t>
  </si>
  <si>
    <t>Paddy</t>
  </si>
  <si>
    <t>Wheat</t>
  </si>
  <si>
    <t>CSD/Silo</t>
  </si>
  <si>
    <t>( Interms Rice )</t>
  </si>
  <si>
    <t>4(Active)</t>
  </si>
  <si>
    <t>REGIONAL TOTAL</t>
  </si>
  <si>
    <t>Rice Mill (Interms of Rice)</t>
  </si>
  <si>
    <t>Flour Mill</t>
  </si>
  <si>
    <t>Total : (6+7)</t>
  </si>
  <si>
    <t>G-Total ( 1 to 7)</t>
  </si>
  <si>
    <t xml:space="preserve">  </t>
  </si>
  <si>
    <t xml:space="preserve">                             VERIFIED   BY :  </t>
  </si>
  <si>
    <t xml:space="preserve"> </t>
  </si>
  <si>
    <t>Interms of Rice</t>
  </si>
  <si>
    <t>DISTRICT/REGIONAL/NATIONAL  PRICE REPORT</t>
  </si>
  <si>
    <t>Fig in Tk/Qtl.</t>
  </si>
  <si>
    <t xml:space="preserve">WHEAT </t>
  </si>
  <si>
    <t xml:space="preserve">ATTA </t>
  </si>
  <si>
    <t>NATIONAL PROCUREMENT REPORT</t>
  </si>
  <si>
    <t>RAJSHAHI REGION:-(16 dist.)</t>
  </si>
  <si>
    <t>TARGET</t>
  </si>
  <si>
    <t>Weekly Procurement</t>
  </si>
  <si>
    <t>CUM. PROCUREMENT</t>
  </si>
  <si>
    <t>% Achievment</t>
  </si>
  <si>
    <t>PADDY</t>
  </si>
  <si>
    <t xml:space="preserve">Interms </t>
  </si>
  <si>
    <t>A.Rice</t>
  </si>
  <si>
    <t>B.RICE</t>
  </si>
  <si>
    <t>Rice</t>
  </si>
  <si>
    <t xml:space="preserve">Int. of </t>
  </si>
  <si>
    <t>of Rice</t>
  </si>
  <si>
    <t xml:space="preserve"> Rice</t>
  </si>
  <si>
    <t xml:space="preserve">Regional Total </t>
  </si>
  <si>
    <t>Page</t>
  </si>
  <si>
    <t>Page-9</t>
  </si>
  <si>
    <t>District wise Offtake (F.Y-2008-09)</t>
  </si>
  <si>
    <t>Date-01/05/09 to 07/05/09</t>
  </si>
  <si>
    <t>APRIL</t>
  </si>
  <si>
    <t>MARCH</t>
  </si>
  <si>
    <t>FEBRUARY</t>
  </si>
  <si>
    <t>2008-09
July'08-April'09</t>
  </si>
  <si>
    <t>2008-09
July'08-Mar'09</t>
  </si>
  <si>
    <t>Total</t>
  </si>
  <si>
    <t>CW</t>
  </si>
  <si>
    <t>Cum</t>
  </si>
  <si>
    <t>(P+R+W) Cum</t>
  </si>
  <si>
    <t>P</t>
  </si>
  <si>
    <t>R</t>
  </si>
  <si>
    <t>W</t>
  </si>
  <si>
    <t>Dina</t>
  </si>
  <si>
    <t>Thak</t>
  </si>
  <si>
    <t>Panc</t>
  </si>
  <si>
    <t>Rang</t>
  </si>
  <si>
    <t>Lalm</t>
  </si>
  <si>
    <t>Kuri</t>
  </si>
  <si>
    <t>Gaib</t>
  </si>
  <si>
    <t>Nilp</t>
  </si>
  <si>
    <t>Bogr</t>
  </si>
  <si>
    <t>Joyp</t>
  </si>
  <si>
    <t>Rajs</t>
  </si>
  <si>
    <t>Nato</t>
  </si>
  <si>
    <t>Naog</t>
  </si>
  <si>
    <t>Nowa</t>
  </si>
  <si>
    <t>Pabn</t>
  </si>
  <si>
    <t>Sira</t>
  </si>
  <si>
    <t>A) RICE</t>
  </si>
  <si>
    <t>CHANNEL</t>
  </si>
  <si>
    <t xml:space="preserve"> MONITISED</t>
  </si>
  <si>
    <t>CU</t>
  </si>
  <si>
    <t>E.P</t>
  </si>
  <si>
    <t>O.P</t>
  </si>
  <si>
    <t>L.E</t>
  </si>
  <si>
    <t>O.M.S</t>
  </si>
  <si>
    <t>F.Mill</t>
  </si>
  <si>
    <t>FAIR PRICE</t>
  </si>
  <si>
    <t>CREDIT SALE</t>
  </si>
  <si>
    <t>OTHERS</t>
  </si>
  <si>
    <t>SUB TOTAL</t>
  </si>
  <si>
    <t>NON MONITISED</t>
  </si>
  <si>
    <t>F.F.W</t>
  </si>
  <si>
    <t>T.R</t>
  </si>
  <si>
    <t>V.G.F</t>
  </si>
  <si>
    <t>V.G.D</t>
  </si>
  <si>
    <t>G.R</t>
  </si>
  <si>
    <t>B) WHEAT</t>
  </si>
  <si>
    <t>MONITISED</t>
  </si>
  <si>
    <t>C) PADDY</t>
  </si>
  <si>
    <t>GRAND TOTAL</t>
  </si>
  <si>
    <t>VERIFIED BY :</t>
  </si>
  <si>
    <t>wR Avi</t>
  </si>
  <si>
    <t xml:space="preserve">BORO (ATOP)-2009 </t>
  </si>
  <si>
    <t>Duration : 02/10/09 to 08/10/09</t>
  </si>
  <si>
    <t>F.F.W/WFP</t>
  </si>
  <si>
    <t>WHEAT-2010 &amp; BORO-2010</t>
  </si>
  <si>
    <t>¸`vg</t>
  </si>
  <si>
    <t>åvg¨gvb</t>
  </si>
  <si>
    <t xml:space="preserve">‡gvU </t>
  </si>
  <si>
    <t>1| cwiPvjK (mieivn I e¨e¯’vcK)</t>
  </si>
  <si>
    <t>¯§viK bs t -----------------</t>
  </si>
  <si>
    <t>m`q AeMwZ I cÖ‡qvRbxq e¨e¯’v MÖn‡Yi Rb¨ †cÖwiZ t</t>
  </si>
  <si>
    <t>wgj ‡MU</t>
  </si>
  <si>
    <t>†ev‡iv avb</t>
  </si>
  <si>
    <t>†Rjv</t>
  </si>
  <si>
    <t>2| cwiPvjK (AÂj)</t>
  </si>
  <si>
    <t>Duration : 18/06/10 to 24/06/10</t>
  </si>
  <si>
    <t>‡Lvjv evRv‡i weµq</t>
  </si>
  <si>
    <t>(mvßvwnK)</t>
  </si>
  <si>
    <t>ZvwiL t--------------------</t>
  </si>
  <si>
    <t>wefvMt-ivRkvnx</t>
  </si>
  <si>
    <t xml:space="preserve">gq`vKj </t>
  </si>
  <si>
    <t>gyw³‡hv×v †ikb</t>
  </si>
  <si>
    <t>wf wR wW</t>
  </si>
  <si>
    <t>wf wR Gd</t>
  </si>
  <si>
    <t>¯‹zj wdwWs</t>
  </si>
  <si>
    <t>B Avi</t>
  </si>
  <si>
    <t>mxj</t>
  </si>
  <si>
    <t>AvÂwjK msMÖn cÖwZ‡e`b (Avmc)</t>
  </si>
  <si>
    <t>msMÖ‡ni cwigvY (PjwZ mßvn)</t>
  </si>
  <si>
    <t>msMÖ‡ni µgcywÄZ cwigvY</t>
  </si>
  <si>
    <t>msMÖn e¨q (PjwZ mßvn)</t>
  </si>
  <si>
    <t>msMÖ‡ni µgcywÄZ e¨q</t>
  </si>
  <si>
    <t>ZvwiL t-----------------</t>
  </si>
  <si>
    <t>Union Fair Price</t>
  </si>
  <si>
    <t>4th Class Employee Fair Price</t>
  </si>
  <si>
    <t>E R</t>
  </si>
  <si>
    <t>E. R</t>
  </si>
  <si>
    <t>RAJSHAHI Regional Average</t>
  </si>
  <si>
    <t>Pvj</t>
  </si>
  <si>
    <t>Freedom Fighter Reson</t>
  </si>
  <si>
    <t>wgj KZ©„K D‡ËvjY</t>
  </si>
  <si>
    <t>e¯—v</t>
  </si>
  <si>
    <t>av‡bi cwigvY</t>
  </si>
  <si>
    <t>wgj nB‡Z cÖvwß</t>
  </si>
  <si>
    <t>PvD‡ji cwigvY</t>
  </si>
  <si>
    <t>cwigvY</t>
  </si>
  <si>
    <t>Aewkó cwigvY</t>
  </si>
  <si>
    <t>‡gvU =</t>
  </si>
  <si>
    <t>dwjZ PvD‡ji cÖvc¨ cwigvY</t>
  </si>
  <si>
    <t>µgcywÄZ =</t>
  </si>
  <si>
    <t>eiv‡Ïi Aewkó =</t>
  </si>
  <si>
    <t>1| cwiPvjK (mieivn I e¨e¯’vcbv)</t>
  </si>
  <si>
    <t>‡ckK…Z we‡ji msL¨v</t>
  </si>
  <si>
    <t>cwi‡kvwaZ we‡ji msL¨v</t>
  </si>
  <si>
    <t>cwienb LiP</t>
  </si>
  <si>
    <t>QuvUvB Kwgkb</t>
  </si>
  <si>
    <r>
      <t>AÂj t</t>
    </r>
    <r>
      <rPr>
        <sz val="12"/>
        <rFont val="SutonnyEMJ"/>
        <family val="0"/>
      </rPr>
      <t xml:space="preserve"> ivRkvnx</t>
    </r>
  </si>
  <si>
    <t>AvÂwjK wgwjs cÖwZ‡e`b</t>
  </si>
  <si>
    <t>Avw_©K Lv‡Z weZiY</t>
  </si>
  <si>
    <t>Abvw_©K Lv‡Z weZiY</t>
  </si>
  <si>
    <t>Lv‡Zi bvg</t>
  </si>
  <si>
    <t>‡gvU weZiY (K)</t>
  </si>
  <si>
    <t>av‡i weµq (L)</t>
  </si>
  <si>
    <t>‡gvU (M)</t>
  </si>
  <si>
    <t>¯§viK bs t 13.04.0000.004.16.006.11.</t>
  </si>
  <si>
    <t>TOTAL OFFTAKE  RICE, WHEAT &amp; PADDY</t>
  </si>
  <si>
    <t>Ghuccho gram</t>
  </si>
  <si>
    <t>OTHERS (Ashrayon Project)</t>
  </si>
  <si>
    <t>c`ex t WvUv Gw›Uª/K‡›Uªvj Acv‡iUi</t>
  </si>
  <si>
    <t>‡dqvi cÖvBm (myjf g~j¨)</t>
  </si>
  <si>
    <t>cb¨ t-‡ev‡iv Pvj (AvZc)</t>
  </si>
  <si>
    <t>cÖwZ‡e`bKvj t 31/10/2014 n‡Z 31/10/2014 ch©š—|</t>
  </si>
  <si>
    <r>
      <t>ms‡KZ t</t>
    </r>
    <r>
      <rPr>
        <sz val="12"/>
        <rFont val="SutonnyEMJ"/>
        <family val="0"/>
      </rPr>
      <t>-mßvn bs-18 (K)</t>
    </r>
  </si>
  <si>
    <t>Duration : 09/01/2015 To 15/01/2015</t>
  </si>
  <si>
    <t>cwienY NvUwZ</t>
  </si>
  <si>
    <t>July'15</t>
  </si>
  <si>
    <t>Aug'15</t>
  </si>
  <si>
    <t>Sep'15</t>
  </si>
  <si>
    <t>Oct'15</t>
  </si>
  <si>
    <t>Nov'15</t>
  </si>
  <si>
    <t>Dec'15</t>
  </si>
  <si>
    <t>Jan'16</t>
  </si>
  <si>
    <t>Feb'16</t>
  </si>
  <si>
    <t>Mar'16</t>
  </si>
  <si>
    <t>Apr'16</t>
  </si>
  <si>
    <t>May'16</t>
  </si>
  <si>
    <t>June'16</t>
  </si>
  <si>
    <t>NATIONAL OFFTAKE REPORT FOR THE YEAR 2015-2016</t>
  </si>
  <si>
    <t>wefvMt- ivRkvnx</t>
  </si>
  <si>
    <t>ms‡KZ t-mßvn bs-16</t>
  </si>
  <si>
    <t>cÖwZ‡e`bKvj t 09/10/2015 n‡Z 15/10/2015 ch©š—</t>
  </si>
  <si>
    <t>we‡kl Riæix MÖvnK</t>
  </si>
  <si>
    <t>Ab¨vb¨ Riæix MÖvnK</t>
  </si>
  <si>
    <t>bvg t †gvt bRiæj Bmjvg</t>
  </si>
  <si>
    <t>Duration : 25/12/2015 to 31/12/2015</t>
  </si>
  <si>
    <t>bvg t †gvt ‡mv‡nj †nv‡mb</t>
  </si>
  <si>
    <t>c`ex t Awdm mnKvix Kvg-Kw¤úDUvi gy`ªvÿwiK</t>
  </si>
  <si>
    <t>c`ex t Awdm mnKvix Kvg Kw¤úDUvi gy`ªvÿwiK</t>
  </si>
  <si>
    <t>cY¨ t- †ev‡iv avbÕ16</t>
  </si>
  <si>
    <t>cb¨ t MgÕ16</t>
  </si>
  <si>
    <t>Prepared by : Md. Sohel Hossen</t>
  </si>
  <si>
    <t>01/07/2015 to 26/05/2016</t>
  </si>
  <si>
    <t>ms‡KZ t mßvn bs-3</t>
  </si>
  <si>
    <t xml:space="preserve">       cÖwZ‡e`bKvj t 15/07/2016 n‡Z 21/07/2016 ch©š—</t>
  </si>
  <si>
    <t>cÖwZ‡e`bKvj t 29/07/2016 n‡Z 31/07/2016 ch©š—</t>
  </si>
  <si>
    <t>ms‡KZ t-mßvn bs-5</t>
  </si>
  <si>
    <t>Lv`¨evÜe Kg©m~wP</t>
  </si>
  <si>
    <t>(Avkªvqb cÖKí)</t>
  </si>
  <si>
    <t>¸”Q MÖvg(¸”PMÖvg)</t>
  </si>
  <si>
    <t>‡gvU cÖvwß</t>
  </si>
  <si>
    <t>me©‡gvU wewj-weZiY =</t>
  </si>
  <si>
    <t xml:space="preserve"> †gvU †cÖiY</t>
  </si>
  <si>
    <t>¸`vg NvUwZ</t>
  </si>
  <si>
    <t>4_© †kÖYx miKvix Kg©Pvix</t>
  </si>
  <si>
    <t>ivRkvnx wefv‡Mi gvmwfwËK Ad‡UK cÖwZ‡e`b</t>
  </si>
  <si>
    <t>wgj n‡Z dwjZ/Avg`vbx</t>
  </si>
  <si>
    <t>RyjvBÕ19</t>
  </si>
  <si>
    <t>AvMóÕ19</t>
  </si>
  <si>
    <t>‡m‡Þ¤^iÕ19</t>
  </si>
  <si>
    <t>A‡±veiÕ19</t>
  </si>
  <si>
    <t>b‡f¤^iÕ19</t>
  </si>
  <si>
    <t>wW‡m¤^iÕ19</t>
  </si>
  <si>
    <t>RvbyqvwiÕ20</t>
  </si>
  <si>
    <t>‡deªæqvwiÕ20</t>
  </si>
  <si>
    <t>gvP©Õ20</t>
  </si>
  <si>
    <t>GwcÖjÕ20</t>
  </si>
  <si>
    <t>‡gÕ20</t>
  </si>
  <si>
    <t>RybÕ20</t>
  </si>
  <si>
    <t>cÖwZ‡e`bKvj t 01/07/2019 n‡Z 30/06/2020 ch©š—</t>
  </si>
  <si>
    <t>ivRkvnx wefv‡Mi gvmwfwËK msMÖn, cÖvwß-‡cÖiY I wewj-weZiY cÖwZ‡e`b</t>
  </si>
  <si>
    <t>cÖwZ‡e`bKvj t 01/07/2019 n‡Z 30/12/2019 ch©š—</t>
  </si>
  <si>
    <t>AvÂwjK Lv`¨ wbqš¿K</t>
  </si>
  <si>
    <t>ivRkvnx wefvM, ivRkvnx</t>
  </si>
  <si>
    <t>†gvU †cÖiY</t>
  </si>
  <si>
    <t>me©‡gvU</t>
  </si>
  <si>
    <t>cÖwZ‡e`bKvj t 01/01/2020 n‡Z 30/06/2020 ch©š—</t>
  </si>
  <si>
    <t>¸”Q MÖvg(¸”PMÖvg+f‚wg)</t>
  </si>
  <si>
    <t>wmiveMÄ</t>
  </si>
  <si>
    <t>mvšÍvnvi mvB‡jv</t>
  </si>
  <si>
    <t>avb</t>
  </si>
  <si>
    <t>gv‡mi bvg t RyjvB/2020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</si>
</sst>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_)"/>
    <numFmt numFmtId="175" formatCode="0.000_)"/>
    <numFmt numFmtId="176" formatCode="0.0000"/>
    <numFmt numFmtId="177" formatCode="_(* #,##0.000_);_(* \(#,##0.000\);_(* &quot;-&quot;??_);_(@_)"/>
    <numFmt numFmtId="178" formatCode="0.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;[Red]0.000"/>
    <numFmt numFmtId="184" formatCode="0.000000"/>
    <numFmt numFmtId="185" formatCode="0.00;[Red]0.00"/>
    <numFmt numFmtId="186" formatCode="0.0;[Red]0.0"/>
    <numFmt numFmtId="187" formatCode="0;[Red]0"/>
    <numFmt numFmtId="188" formatCode="_(* #,##0.00000_);_(* \(#,##0.00000\);_(* &quot;-&quot;??_);_(@_)"/>
  </numFmts>
  <fonts count="140">
    <font>
      <sz val="10"/>
      <name val="Arial"/>
      <family val="0"/>
    </font>
    <font>
      <sz val="10"/>
      <name val="SutonnyMJ"/>
      <family val="0"/>
    </font>
    <font>
      <b/>
      <sz val="10"/>
      <name val="SutonnyMJ"/>
      <family val="0"/>
    </font>
    <font>
      <sz val="10"/>
      <name val="SutonnyEMJ"/>
      <family val="0"/>
    </font>
    <font>
      <b/>
      <sz val="10"/>
      <name val="SutonnyEMJ"/>
      <family val="0"/>
    </font>
    <font>
      <b/>
      <sz val="14"/>
      <name val="SutonnyEMJ"/>
      <family val="0"/>
    </font>
    <font>
      <sz val="8"/>
      <name val="Arial"/>
      <family val="0"/>
    </font>
    <font>
      <sz val="8"/>
      <name val="SutonnyMJ"/>
      <family val="0"/>
    </font>
    <font>
      <b/>
      <sz val="12"/>
      <name val="SutonnyEMJ"/>
      <family val="0"/>
    </font>
    <font>
      <sz val="12"/>
      <name val="SutonnyMJ"/>
      <family val="0"/>
    </font>
    <font>
      <sz val="12"/>
      <name val="Arial"/>
      <family val="0"/>
    </font>
    <font>
      <u val="single"/>
      <sz val="12"/>
      <name val="Times New Roman"/>
      <family val="1"/>
    </font>
    <font>
      <sz val="12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10"/>
      <name val="Times New Roman"/>
      <family val="1"/>
    </font>
    <font>
      <b/>
      <sz val="12"/>
      <name val="Helv"/>
      <family val="0"/>
    </font>
    <font>
      <u val="single"/>
      <sz val="8"/>
      <name val="Helv"/>
      <family val="0"/>
    </font>
    <font>
      <sz val="7"/>
      <name val="Helv"/>
      <family val="0"/>
    </font>
    <font>
      <sz val="9"/>
      <name val="Helv"/>
      <family val="0"/>
    </font>
    <font>
      <sz val="6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u val="single"/>
      <sz val="9"/>
      <name val="Times New Roman"/>
      <family val="1"/>
    </font>
    <font>
      <u val="single"/>
      <sz val="7"/>
      <name val="Times New Roman"/>
      <family val="1"/>
    </font>
    <font>
      <sz val="6"/>
      <name val="Arial"/>
      <family val="0"/>
    </font>
    <font>
      <sz val="9"/>
      <name val="Abadi MT Condensed Light"/>
      <family val="2"/>
    </font>
    <font>
      <b/>
      <sz val="10"/>
      <name val="Arial"/>
      <family val="2"/>
    </font>
    <font>
      <u val="single"/>
      <sz val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color indexed="18"/>
      <name val="Arial"/>
      <family val="2"/>
    </font>
    <font>
      <sz val="12"/>
      <name val="Arial Narrow"/>
      <family val="2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0"/>
    </font>
    <font>
      <b/>
      <sz val="12"/>
      <name val="SutonnyMJ"/>
      <family val="0"/>
    </font>
    <font>
      <sz val="12"/>
      <name val="SutonnyEMJ"/>
      <family val="0"/>
    </font>
    <font>
      <sz val="11"/>
      <name val="SutonnyMJ"/>
      <family val="0"/>
    </font>
    <font>
      <b/>
      <sz val="11"/>
      <name val="SutonnyMJ"/>
      <family val="0"/>
    </font>
    <font>
      <b/>
      <sz val="11"/>
      <name val="SutonnyEMJ"/>
      <family val="0"/>
    </font>
    <font>
      <sz val="11"/>
      <name val="SutonnyEMJ"/>
      <family val="0"/>
    </font>
    <font>
      <b/>
      <sz val="8"/>
      <name val="SutonnyMJ"/>
      <family val="0"/>
    </font>
    <font>
      <sz val="9"/>
      <name val="SutonnyMJ"/>
      <family val="0"/>
    </font>
    <font>
      <b/>
      <sz val="9"/>
      <name val="SutonnyMJ"/>
      <family val="0"/>
    </font>
    <font>
      <b/>
      <sz val="11"/>
      <color indexed="12"/>
      <name val="SutonnyEMJ"/>
      <family val="0"/>
    </font>
    <font>
      <sz val="13"/>
      <name val="SutonnyMJ"/>
      <family val="0"/>
    </font>
    <font>
      <b/>
      <sz val="13"/>
      <name val="SutonnyMJ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SutonnyEMJ"/>
      <family val="0"/>
    </font>
    <font>
      <sz val="15"/>
      <name val="SutonnyMJ"/>
      <family val="0"/>
    </font>
    <font>
      <b/>
      <sz val="15"/>
      <name val="SutonnyEMJ"/>
      <family val="0"/>
    </font>
    <font>
      <sz val="13"/>
      <name val="Arial"/>
      <family val="0"/>
    </font>
    <font>
      <b/>
      <sz val="13"/>
      <name val="SutonnyCMJ"/>
      <family val="0"/>
    </font>
    <font>
      <sz val="13"/>
      <name val="SutonnyCMJ"/>
      <family val="0"/>
    </font>
    <font>
      <sz val="15"/>
      <name val="Arial"/>
      <family val="0"/>
    </font>
    <font>
      <sz val="15"/>
      <name val="SutonnyEMJ"/>
      <family val="0"/>
    </font>
    <font>
      <b/>
      <sz val="12.5"/>
      <name val="SutonnyMJ"/>
      <family val="0"/>
    </font>
    <font>
      <b/>
      <sz val="13"/>
      <name val="Arial"/>
      <family val="0"/>
    </font>
    <font>
      <b/>
      <sz val="15"/>
      <name val="Arial"/>
      <family val="0"/>
    </font>
    <font>
      <sz val="15"/>
      <color indexed="9"/>
      <name val="SutonnyMJ"/>
      <family val="0"/>
    </font>
    <font>
      <sz val="15"/>
      <color indexed="9"/>
      <name val="Arial"/>
      <family val="0"/>
    </font>
    <font>
      <sz val="13"/>
      <color indexed="9"/>
      <name val="Arial"/>
      <family val="0"/>
    </font>
    <font>
      <b/>
      <sz val="11.5"/>
      <name val="SutonnyMJ"/>
      <family val="0"/>
    </font>
    <font>
      <sz val="14"/>
      <name val="SutonnyMJ"/>
      <family val="0"/>
    </font>
    <font>
      <b/>
      <sz val="13"/>
      <color indexed="10"/>
      <name val="SutonnyMJ"/>
      <family val="0"/>
    </font>
    <font>
      <b/>
      <sz val="12.5"/>
      <color indexed="10"/>
      <name val="SutonnyMJ"/>
      <family val="0"/>
    </font>
    <font>
      <b/>
      <sz val="15"/>
      <color indexed="10"/>
      <name val="Arial"/>
      <family val="0"/>
    </font>
    <font>
      <b/>
      <sz val="13"/>
      <color indexed="8"/>
      <name val="SutonnyMJ"/>
      <family val="0"/>
    </font>
    <font>
      <b/>
      <sz val="12.5"/>
      <color indexed="8"/>
      <name val="SutonnyMJ"/>
      <family val="0"/>
    </font>
    <font>
      <b/>
      <sz val="11.5"/>
      <color indexed="8"/>
      <name val="SutonnyMJ"/>
      <family val="0"/>
    </font>
    <font>
      <b/>
      <sz val="15"/>
      <color indexed="8"/>
      <name val="Arial"/>
      <family val="0"/>
    </font>
    <font>
      <b/>
      <sz val="13"/>
      <color indexed="20"/>
      <name val="SutonnyMJ"/>
      <family val="0"/>
    </font>
    <font>
      <b/>
      <sz val="12.5"/>
      <color indexed="20"/>
      <name val="SutonnyMJ"/>
      <family val="0"/>
    </font>
    <font>
      <b/>
      <sz val="11.5"/>
      <color indexed="20"/>
      <name val="SutonnyMJ"/>
      <family val="0"/>
    </font>
    <font>
      <sz val="13"/>
      <color indexed="20"/>
      <name val="Arial"/>
      <family val="0"/>
    </font>
    <font>
      <b/>
      <sz val="13"/>
      <color indexed="14"/>
      <name val="SutonnyMJ"/>
      <family val="0"/>
    </font>
    <font>
      <b/>
      <sz val="12.5"/>
      <color indexed="14"/>
      <name val="SutonnyMJ"/>
      <family val="0"/>
    </font>
    <font>
      <sz val="15"/>
      <color indexed="14"/>
      <name val="Arial"/>
      <family val="0"/>
    </font>
    <font>
      <b/>
      <sz val="13"/>
      <color indexed="16"/>
      <name val="SutonnyMJ"/>
      <family val="0"/>
    </font>
    <font>
      <b/>
      <sz val="12.5"/>
      <color indexed="16"/>
      <name val="SutonnyMJ"/>
      <family val="0"/>
    </font>
    <font>
      <sz val="15"/>
      <color indexed="16"/>
      <name val="Arial"/>
      <family val="0"/>
    </font>
    <font>
      <b/>
      <sz val="13"/>
      <color indexed="12"/>
      <name val="SutonnyMJ"/>
      <family val="0"/>
    </font>
    <font>
      <b/>
      <sz val="12.5"/>
      <color indexed="12"/>
      <name val="SutonnyMJ"/>
      <family val="0"/>
    </font>
    <font>
      <sz val="15"/>
      <color indexed="12"/>
      <name val="Arial"/>
      <family val="0"/>
    </font>
    <font>
      <sz val="15"/>
      <color indexed="12"/>
      <name val="SutonnyMJ"/>
      <family val="0"/>
    </font>
    <font>
      <sz val="15"/>
      <color indexed="16"/>
      <name val="SutonnyMJ"/>
      <family val="0"/>
    </font>
    <font>
      <sz val="15"/>
      <color indexed="14"/>
      <name val="SutonnyMJ"/>
      <family val="0"/>
    </font>
    <font>
      <b/>
      <sz val="15"/>
      <name val="SutonnyMJ"/>
      <family val="0"/>
    </font>
    <font>
      <b/>
      <sz val="15"/>
      <color indexed="10"/>
      <name val="SutonnyMJ"/>
      <family val="0"/>
    </font>
    <font>
      <b/>
      <sz val="15"/>
      <color indexed="8"/>
      <name val="SutonnyMJ"/>
      <family val="0"/>
    </font>
    <font>
      <sz val="13"/>
      <color indexed="20"/>
      <name val="SutonnyMJ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0" applyNumberFormat="0" applyBorder="0" applyAlignment="0" applyProtection="0"/>
    <xf numFmtId="0" fontId="126" fillId="27" borderId="1" applyNumberFormat="0" applyAlignment="0" applyProtection="0"/>
    <xf numFmtId="0" fontId="1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3" fillId="30" borderId="1" applyNumberFormat="0" applyAlignment="0" applyProtection="0"/>
    <xf numFmtId="0" fontId="134" fillId="0" borderId="6" applyNumberFormat="0" applyFill="0" applyAlignment="0" applyProtection="0"/>
    <xf numFmtId="0" fontId="135" fillId="31" borderId="0" applyNumberFormat="0" applyBorder="0" applyAlignment="0" applyProtection="0"/>
    <xf numFmtId="0" fontId="0" fillId="32" borderId="7" applyNumberFormat="0" applyFont="0" applyAlignment="0" applyProtection="0"/>
    <xf numFmtId="0" fontId="136" fillId="27" borderId="8" applyNumberFormat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5" fillId="33" borderId="0" xfId="0" applyFont="1" applyFill="1" applyAlignment="1" applyProtection="1">
      <alignment horizontal="left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4" borderId="0" xfId="0" applyFont="1" applyFill="1" applyBorder="1" applyAlignment="1" applyProtection="1">
      <alignment horizontal="left"/>
      <protection locked="0"/>
    </xf>
    <xf numFmtId="0" fontId="15" fillId="33" borderId="10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/>
      <protection locked="0"/>
    </xf>
    <xf numFmtId="0" fontId="19" fillId="34" borderId="11" xfId="0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19" fillId="34" borderId="12" xfId="0" applyFont="1" applyFill="1" applyBorder="1" applyAlignment="1" applyProtection="1">
      <alignment horizontal="center" vertical="center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19" fillId="34" borderId="14" xfId="0" applyFont="1" applyFill="1" applyBorder="1" applyAlignment="1" applyProtection="1">
      <alignment horizontal="center" vertical="center"/>
      <protection/>
    </xf>
    <xf numFmtId="0" fontId="15" fillId="34" borderId="15" xfId="0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6" fillId="34" borderId="16" xfId="0" applyFont="1" applyFill="1" applyBorder="1" applyAlignment="1" applyProtection="1">
      <alignment horizontal="center" vertical="center"/>
      <protection locked="0"/>
    </xf>
    <xf numFmtId="0" fontId="16" fillId="34" borderId="17" xfId="0" applyFont="1" applyFill="1" applyBorder="1" applyAlignment="1" applyProtection="1">
      <alignment horizontal="center" vertical="center"/>
      <protection/>
    </xf>
    <xf numFmtId="0" fontId="16" fillId="34" borderId="18" xfId="0" applyFont="1" applyFill="1" applyBorder="1" applyAlignment="1" applyProtection="1">
      <alignment horizontal="center" vertical="center"/>
      <protection/>
    </xf>
    <xf numFmtId="0" fontId="16" fillId="34" borderId="19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172" fontId="16" fillId="33" borderId="20" xfId="0" applyNumberFormat="1" applyFont="1" applyFill="1" applyBorder="1" applyAlignment="1" applyProtection="1">
      <alignment/>
      <protection/>
    </xf>
    <xf numFmtId="1" fontId="16" fillId="33" borderId="21" xfId="0" applyNumberFormat="1" applyFont="1" applyFill="1" applyBorder="1" applyAlignment="1" applyProtection="1">
      <alignment/>
      <protection/>
    </xf>
    <xf numFmtId="1" fontId="16" fillId="33" borderId="22" xfId="0" applyNumberFormat="1" applyFont="1" applyFill="1" applyBorder="1" applyAlignment="1" applyProtection="1">
      <alignment/>
      <protection/>
    </xf>
    <xf numFmtId="1" fontId="16" fillId="33" borderId="23" xfId="0" applyNumberFormat="1" applyFont="1" applyFill="1" applyBorder="1" applyAlignment="1" applyProtection="1">
      <alignment/>
      <protection/>
    </xf>
    <xf numFmtId="172" fontId="16" fillId="0" borderId="24" xfId="0" applyNumberFormat="1" applyFont="1" applyBorder="1" applyAlignment="1">
      <alignment/>
    </xf>
    <xf numFmtId="0" fontId="16" fillId="33" borderId="25" xfId="0" applyFont="1" applyFill="1" applyBorder="1" applyAlignment="1" applyProtection="1">
      <alignment horizontal="left"/>
      <protection locked="0"/>
    </xf>
    <xf numFmtId="172" fontId="16" fillId="0" borderId="26" xfId="0" applyNumberFormat="1" applyFont="1" applyBorder="1" applyAlignment="1">
      <alignment/>
    </xf>
    <xf numFmtId="172" fontId="16" fillId="33" borderId="27" xfId="0" applyNumberFormat="1" applyFont="1" applyFill="1" applyBorder="1" applyAlignment="1" applyProtection="1">
      <alignment/>
      <protection/>
    </xf>
    <xf numFmtId="1" fontId="16" fillId="33" borderId="25" xfId="0" applyNumberFormat="1" applyFont="1" applyFill="1" applyBorder="1" applyAlignment="1" applyProtection="1">
      <alignment/>
      <protection/>
    </xf>
    <xf numFmtId="1" fontId="16" fillId="33" borderId="28" xfId="0" applyNumberFormat="1" applyFont="1" applyFill="1" applyBorder="1" applyAlignment="1" applyProtection="1">
      <alignment/>
      <protection/>
    </xf>
    <xf numFmtId="1" fontId="16" fillId="33" borderId="15" xfId="0" applyNumberFormat="1" applyFont="1" applyFill="1" applyBorder="1" applyAlignment="1" applyProtection="1">
      <alignment/>
      <protection/>
    </xf>
    <xf numFmtId="0" fontId="16" fillId="34" borderId="25" xfId="0" applyFont="1" applyFill="1" applyBorder="1" applyAlignment="1" applyProtection="1">
      <alignment horizontal="left"/>
      <protection locked="0"/>
    </xf>
    <xf numFmtId="175" fontId="16" fillId="33" borderId="12" xfId="0" applyNumberFormat="1" applyFont="1" applyFill="1" applyBorder="1" applyAlignment="1" applyProtection="1">
      <alignment/>
      <protection locked="0"/>
    </xf>
    <xf numFmtId="172" fontId="16" fillId="33" borderId="29" xfId="0" applyNumberFormat="1" applyFont="1" applyFill="1" applyBorder="1" applyAlignment="1" applyProtection="1">
      <alignment/>
      <protection/>
    </xf>
    <xf numFmtId="1" fontId="16" fillId="34" borderId="25" xfId="0" applyNumberFormat="1" applyFont="1" applyFill="1" applyBorder="1" applyAlignment="1" applyProtection="1">
      <alignment/>
      <protection/>
    </xf>
    <xf numFmtId="1" fontId="16" fillId="34" borderId="28" xfId="0" applyNumberFormat="1" applyFont="1" applyFill="1" applyBorder="1" applyAlignment="1" applyProtection="1">
      <alignment/>
      <protection/>
    </xf>
    <xf numFmtId="1" fontId="16" fillId="34" borderId="15" xfId="0" applyNumberFormat="1" applyFont="1" applyFill="1" applyBorder="1" applyAlignment="1" applyProtection="1">
      <alignment/>
      <protection/>
    </xf>
    <xf numFmtId="0" fontId="16" fillId="33" borderId="17" xfId="0" applyFont="1" applyFill="1" applyBorder="1" applyAlignment="1" applyProtection="1">
      <alignment horizontal="left"/>
      <protection locked="0"/>
    </xf>
    <xf numFmtId="0" fontId="16" fillId="33" borderId="19" xfId="0" applyFont="1" applyFill="1" applyBorder="1" applyAlignment="1" applyProtection="1">
      <alignment/>
      <protection locked="0"/>
    </xf>
    <xf numFmtId="175" fontId="16" fillId="33" borderId="30" xfId="0" applyNumberFormat="1" applyFont="1" applyFill="1" applyBorder="1" applyAlignment="1" applyProtection="1">
      <alignment/>
      <protection locked="0"/>
    </xf>
    <xf numFmtId="175" fontId="16" fillId="33" borderId="29" xfId="0" applyNumberFormat="1" applyFont="1" applyFill="1" applyBorder="1" applyAlignment="1" applyProtection="1">
      <alignment/>
      <protection/>
    </xf>
    <xf numFmtId="174" fontId="16" fillId="33" borderId="17" xfId="0" applyNumberFormat="1" applyFont="1" applyFill="1" applyBorder="1" applyAlignment="1" applyProtection="1">
      <alignment/>
      <protection/>
    </xf>
    <xf numFmtId="174" fontId="16" fillId="33" borderId="18" xfId="0" applyNumberFormat="1" applyFont="1" applyFill="1" applyBorder="1" applyAlignment="1" applyProtection="1">
      <alignment/>
      <protection/>
    </xf>
    <xf numFmtId="174" fontId="16" fillId="34" borderId="19" xfId="0" applyNumberFormat="1" applyFont="1" applyFill="1" applyBorder="1" applyAlignment="1" applyProtection="1">
      <alignment/>
      <protection/>
    </xf>
    <xf numFmtId="0" fontId="16" fillId="34" borderId="30" xfId="0" applyFont="1" applyFill="1" applyBorder="1" applyAlignment="1" applyProtection="1">
      <alignment horizontal="left"/>
      <protection locked="0"/>
    </xf>
    <xf numFmtId="0" fontId="16" fillId="34" borderId="31" xfId="0" applyFont="1" applyFill="1" applyBorder="1" applyAlignment="1" applyProtection="1">
      <alignment/>
      <protection locked="0"/>
    </xf>
    <xf numFmtId="175" fontId="16" fillId="33" borderId="28" xfId="0" applyNumberFormat="1" applyFont="1" applyFill="1" applyBorder="1" applyAlignment="1" applyProtection="1">
      <alignment/>
      <protection locked="0"/>
    </xf>
    <xf numFmtId="174" fontId="16" fillId="34" borderId="30" xfId="0" applyNumberFormat="1" applyFont="1" applyFill="1" applyBorder="1" applyAlignment="1" applyProtection="1">
      <alignment/>
      <protection/>
    </xf>
    <xf numFmtId="174" fontId="16" fillId="34" borderId="27" xfId="0" applyNumberFormat="1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 locked="0"/>
    </xf>
    <xf numFmtId="174" fontId="16" fillId="33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174" fontId="16" fillId="33" borderId="0" xfId="0" applyNumberFormat="1" applyFont="1" applyFill="1" applyBorder="1" applyAlignment="1" applyProtection="1">
      <alignment horizontal="center"/>
      <protection locked="0"/>
    </xf>
    <xf numFmtId="175" fontId="16" fillId="33" borderId="0" xfId="0" applyNumberFormat="1" applyFont="1" applyFill="1" applyBorder="1" applyAlignment="1" applyProtection="1">
      <alignment/>
      <protection locked="0"/>
    </xf>
    <xf numFmtId="175" fontId="16" fillId="33" borderId="0" xfId="0" applyNumberFormat="1" applyFont="1" applyFill="1" applyBorder="1" applyAlignment="1" applyProtection="1">
      <alignment/>
      <protection/>
    </xf>
    <xf numFmtId="174" fontId="16" fillId="33" borderId="0" xfId="0" applyNumberFormat="1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left"/>
      <protection locked="0"/>
    </xf>
    <xf numFmtId="0" fontId="16" fillId="33" borderId="10" xfId="0" applyFont="1" applyFill="1" applyBorder="1" applyAlignment="1" applyProtection="1">
      <alignment/>
      <protection locked="0"/>
    </xf>
    <xf numFmtId="174" fontId="16" fillId="33" borderId="10" xfId="0" applyNumberFormat="1" applyFont="1" applyFill="1" applyBorder="1" applyAlignment="1" applyProtection="1">
      <alignment/>
      <protection locked="0"/>
    </xf>
    <xf numFmtId="0" fontId="16" fillId="33" borderId="10" xfId="0" applyFont="1" applyFill="1" applyBorder="1" applyAlignment="1" applyProtection="1">
      <alignment/>
      <protection/>
    </xf>
    <xf numFmtId="0" fontId="16" fillId="33" borderId="31" xfId="0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/>
      <protection locked="0"/>
    </xf>
    <xf numFmtId="0" fontId="16" fillId="33" borderId="15" xfId="0" applyFont="1" applyFill="1" applyBorder="1" applyAlignment="1" applyProtection="1">
      <alignment/>
      <protection locked="0"/>
    </xf>
    <xf numFmtId="0" fontId="16" fillId="33" borderId="15" xfId="0" applyFont="1" applyFill="1" applyBorder="1" applyAlignment="1" applyProtection="1">
      <alignment horizontal="center"/>
      <protection locked="0"/>
    </xf>
    <xf numFmtId="0" fontId="16" fillId="33" borderId="15" xfId="0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 horizontal="center"/>
      <protection/>
    </xf>
    <xf numFmtId="174" fontId="23" fillId="33" borderId="19" xfId="0" applyNumberFormat="1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174" fontId="23" fillId="33" borderId="15" xfId="0" applyNumberFormat="1" applyFont="1" applyFill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 horizontal="left"/>
      <protection locked="0"/>
    </xf>
    <xf numFmtId="0" fontId="16" fillId="33" borderId="32" xfId="0" applyFont="1" applyFill="1" applyBorder="1" applyAlignment="1" applyProtection="1">
      <alignment/>
      <protection locked="0"/>
    </xf>
    <xf numFmtId="174" fontId="23" fillId="33" borderId="32" xfId="0" applyNumberFormat="1" applyFont="1" applyFill="1" applyBorder="1" applyAlignment="1" applyProtection="1">
      <alignment/>
      <protection locked="0"/>
    </xf>
    <xf numFmtId="174" fontId="23" fillId="33" borderId="19" xfId="0" applyNumberFormat="1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2" fillId="34" borderId="33" xfId="0" applyFont="1" applyFill="1" applyBorder="1" applyAlignment="1" applyProtection="1">
      <alignment horizontal="center"/>
      <protection locked="0"/>
    </xf>
    <xf numFmtId="0" fontId="26" fillId="34" borderId="33" xfId="0" applyFont="1" applyFill="1" applyBorder="1" applyAlignment="1" applyProtection="1">
      <alignment horizontal="center"/>
      <protection locked="0"/>
    </xf>
    <xf numFmtId="0" fontId="22" fillId="34" borderId="34" xfId="0" applyFont="1" applyFill="1" applyBorder="1" applyAlignment="1" applyProtection="1">
      <alignment horizontal="center"/>
      <protection locked="0"/>
    </xf>
    <xf numFmtId="0" fontId="16" fillId="33" borderId="35" xfId="0" applyFont="1" applyFill="1" applyBorder="1" applyAlignment="1" applyProtection="1">
      <alignment/>
      <protection locked="0"/>
    </xf>
    <xf numFmtId="0" fontId="27" fillId="34" borderId="34" xfId="0" applyFont="1" applyFill="1" applyBorder="1" applyAlignment="1" applyProtection="1">
      <alignment horizontal="center"/>
      <protection/>
    </xf>
    <xf numFmtId="0" fontId="22" fillId="34" borderId="36" xfId="0" applyFont="1" applyFill="1" applyBorder="1" applyAlignment="1" applyProtection="1">
      <alignment horizontal="center"/>
      <protection/>
    </xf>
    <xf numFmtId="0" fontId="22" fillId="34" borderId="37" xfId="0" applyFont="1" applyFill="1" applyBorder="1" applyAlignment="1" applyProtection="1">
      <alignment horizontal="center"/>
      <protection/>
    </xf>
    <xf numFmtId="0" fontId="22" fillId="34" borderId="35" xfId="0" applyFont="1" applyFill="1" applyBorder="1" applyAlignment="1" applyProtection="1">
      <alignment horizontal="center"/>
      <protection/>
    </xf>
    <xf numFmtId="0" fontId="22" fillId="34" borderId="28" xfId="0" applyFont="1" applyFill="1" applyBorder="1" applyAlignment="1" applyProtection="1">
      <alignment horizontal="center"/>
      <protection locked="0"/>
    </xf>
    <xf numFmtId="0" fontId="26" fillId="34" borderId="28" xfId="0" applyFont="1" applyFill="1" applyBorder="1" applyAlignment="1" applyProtection="1">
      <alignment horizontal="center"/>
      <protection locked="0"/>
    </xf>
    <xf numFmtId="0" fontId="16" fillId="33" borderId="28" xfId="0" applyFont="1" applyFill="1" applyBorder="1" applyAlignment="1" applyProtection="1">
      <alignment/>
      <protection locked="0"/>
    </xf>
    <xf numFmtId="0" fontId="27" fillId="34" borderId="28" xfId="0" applyFont="1" applyFill="1" applyBorder="1" applyAlignment="1" applyProtection="1">
      <alignment horizontal="center"/>
      <protection/>
    </xf>
    <xf numFmtId="0" fontId="22" fillId="34" borderId="28" xfId="0" applyFont="1" applyFill="1" applyBorder="1" applyAlignment="1" applyProtection="1">
      <alignment horizontal="center"/>
      <protection/>
    </xf>
    <xf numFmtId="0" fontId="15" fillId="34" borderId="33" xfId="0" applyFont="1" applyFill="1" applyBorder="1" applyAlignment="1" applyProtection="1">
      <alignment horizontal="center"/>
      <protection locked="0"/>
    </xf>
    <xf numFmtId="0" fontId="15" fillId="34" borderId="36" xfId="0" applyFont="1" applyFill="1" applyBorder="1" applyAlignment="1" applyProtection="1">
      <alignment horizontal="center"/>
      <protection locked="0"/>
    </xf>
    <xf numFmtId="0" fontId="15" fillId="34" borderId="34" xfId="0" applyFont="1" applyFill="1" applyBorder="1" applyAlignment="1" applyProtection="1">
      <alignment horizontal="center"/>
      <protection locked="0"/>
    </xf>
    <xf numFmtId="0" fontId="21" fillId="34" borderId="38" xfId="0" applyFont="1" applyFill="1" applyBorder="1" applyAlignment="1" applyProtection="1">
      <alignment horizontal="center"/>
      <protection locked="0"/>
    </xf>
    <xf numFmtId="0" fontId="15" fillId="34" borderId="38" xfId="0" applyFont="1" applyFill="1" applyBorder="1" applyAlignment="1" applyProtection="1">
      <alignment horizontal="center"/>
      <protection locked="0"/>
    </xf>
    <xf numFmtId="0" fontId="15" fillId="34" borderId="33" xfId="0" applyFont="1" applyFill="1" applyBorder="1" applyAlignment="1" applyProtection="1">
      <alignment horizontal="center"/>
      <protection/>
    </xf>
    <xf numFmtId="0" fontId="15" fillId="34" borderId="34" xfId="0" applyFont="1" applyFill="1" applyBorder="1" applyAlignment="1" applyProtection="1">
      <alignment horizontal="center"/>
      <protection/>
    </xf>
    <xf numFmtId="0" fontId="15" fillId="34" borderId="35" xfId="0" applyFont="1" applyFill="1" applyBorder="1" applyAlignment="1" applyProtection="1">
      <alignment horizontal="center"/>
      <protection/>
    </xf>
    <xf numFmtId="0" fontId="16" fillId="33" borderId="12" xfId="0" applyFont="1" applyFill="1" applyBorder="1" applyAlignment="1" applyProtection="1">
      <alignment horizontal="left"/>
      <protection locked="0"/>
    </xf>
    <xf numFmtId="174" fontId="16" fillId="34" borderId="12" xfId="0" applyNumberFormat="1" applyFont="1" applyFill="1" applyBorder="1" applyAlignment="1" applyProtection="1">
      <alignment horizontal="right"/>
      <protection locked="0"/>
    </xf>
    <xf numFmtId="174" fontId="16" fillId="34" borderId="12" xfId="0" applyNumberFormat="1" applyFont="1" applyFill="1" applyBorder="1" applyAlignment="1" applyProtection="1">
      <alignment horizontal="right"/>
      <protection/>
    </xf>
    <xf numFmtId="0" fontId="27" fillId="0" borderId="12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174" fontId="16" fillId="0" borderId="12" xfId="0" applyNumberFormat="1" applyFont="1" applyBorder="1" applyAlignment="1" applyProtection="1">
      <alignment horizontal="right"/>
      <protection locked="0"/>
    </xf>
    <xf numFmtId="174" fontId="16" fillId="0" borderId="12" xfId="0" applyNumberFormat="1" applyFont="1" applyBorder="1" applyAlignment="1" applyProtection="1">
      <alignment horizontal="right"/>
      <protection/>
    </xf>
    <xf numFmtId="174" fontId="23" fillId="0" borderId="12" xfId="0" applyNumberFormat="1" applyFont="1" applyBorder="1" applyAlignment="1" applyProtection="1">
      <alignment horizontal="right"/>
      <protection/>
    </xf>
    <xf numFmtId="174" fontId="16" fillId="33" borderId="11" xfId="0" applyNumberFormat="1" applyFont="1" applyFill="1" applyBorder="1" applyAlignment="1" applyProtection="1">
      <alignment horizontal="right"/>
      <protection locked="0"/>
    </xf>
    <xf numFmtId="174" fontId="16" fillId="33" borderId="32" xfId="0" applyNumberFormat="1" applyFont="1" applyFill="1" applyBorder="1" applyAlignment="1" applyProtection="1">
      <alignment horizontal="right"/>
      <protection locked="0"/>
    </xf>
    <xf numFmtId="174" fontId="16" fillId="33" borderId="12" xfId="0" applyNumberFormat="1" applyFont="1" applyFill="1" applyBorder="1" applyAlignment="1" applyProtection="1">
      <alignment horizontal="right"/>
      <protection locked="0"/>
    </xf>
    <xf numFmtId="174" fontId="16" fillId="33" borderId="33" xfId="0" applyNumberFormat="1" applyFont="1" applyFill="1" applyBorder="1" applyAlignment="1" applyProtection="1">
      <alignment horizontal="right"/>
      <protection/>
    </xf>
    <xf numFmtId="174" fontId="16" fillId="33" borderId="38" xfId="0" applyNumberFormat="1" applyFont="1" applyFill="1" applyBorder="1" applyAlignment="1" applyProtection="1">
      <alignment horizontal="right"/>
      <protection/>
    </xf>
    <xf numFmtId="174" fontId="16" fillId="33" borderId="35" xfId="0" applyNumberFormat="1" applyFont="1" applyFill="1" applyBorder="1" applyAlignment="1" applyProtection="1">
      <alignment horizontal="right"/>
      <protection/>
    </xf>
    <xf numFmtId="174" fontId="16" fillId="33" borderId="21" xfId="0" applyNumberFormat="1" applyFont="1" applyFill="1" applyBorder="1" applyAlignment="1" applyProtection="1">
      <alignment horizontal="right"/>
      <protection/>
    </xf>
    <xf numFmtId="174" fontId="16" fillId="33" borderId="0" xfId="0" applyNumberFormat="1" applyFont="1" applyFill="1" applyBorder="1" applyAlignment="1" applyProtection="1">
      <alignment horizontal="right"/>
      <protection/>
    </xf>
    <xf numFmtId="174" fontId="16" fillId="33" borderId="23" xfId="0" applyNumberFormat="1" applyFont="1" applyFill="1" applyBorder="1" applyAlignment="1" applyProtection="1">
      <alignment horizontal="right"/>
      <protection/>
    </xf>
    <xf numFmtId="174" fontId="0" fillId="0" borderId="11" xfId="0" applyNumberFormat="1" applyFont="1" applyBorder="1" applyAlignment="1" applyProtection="1">
      <alignment horizontal="right"/>
      <protection locked="0"/>
    </xf>
    <xf numFmtId="174" fontId="0" fillId="0" borderId="32" xfId="0" applyNumberFormat="1" applyFont="1" applyBorder="1" applyAlignment="1" applyProtection="1">
      <alignment horizontal="right"/>
      <protection locked="0"/>
    </xf>
    <xf numFmtId="174" fontId="0" fillId="0" borderId="21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174" fontId="0" fillId="0" borderId="23" xfId="0" applyNumberFormat="1" applyFont="1" applyBorder="1" applyAlignment="1" applyProtection="1">
      <alignment horizontal="right"/>
      <protection/>
    </xf>
    <xf numFmtId="174" fontId="29" fillId="0" borderId="25" xfId="0" applyNumberFormat="1" applyFont="1" applyBorder="1" applyAlignment="1" applyProtection="1">
      <alignment horizontal="right"/>
      <protection/>
    </xf>
    <xf numFmtId="174" fontId="29" fillId="0" borderId="10" xfId="0" applyNumberFormat="1" applyFont="1" applyBorder="1" applyAlignment="1" applyProtection="1">
      <alignment horizontal="right"/>
      <protection/>
    </xf>
    <xf numFmtId="174" fontId="0" fillId="0" borderId="15" xfId="0" applyNumberFormat="1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0" applyFont="1" applyAlignment="1" applyProtection="1">
      <alignment horizontal="right"/>
      <protection/>
    </xf>
    <xf numFmtId="14" fontId="26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 applyProtection="1">
      <alignment horizontal="left"/>
      <protection/>
    </xf>
    <xf numFmtId="14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3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35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3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wrapText="1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39" xfId="0" applyFont="1" applyBorder="1" applyAlignment="1">
      <alignment/>
    </xf>
    <xf numFmtId="0" fontId="29" fillId="0" borderId="42" xfId="0" applyFont="1" applyBorder="1" applyAlignment="1">
      <alignment/>
    </xf>
    <xf numFmtId="1" fontId="29" fillId="0" borderId="39" xfId="0" applyNumberFormat="1" applyFont="1" applyBorder="1" applyAlignment="1">
      <alignment/>
    </xf>
    <xf numFmtId="1" fontId="29" fillId="0" borderId="43" xfId="0" applyNumberFormat="1" applyFont="1" applyBorder="1" applyAlignment="1">
      <alignment/>
    </xf>
    <xf numFmtId="1" fontId="29" fillId="0" borderId="3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6" fillId="0" borderId="39" xfId="0" applyNumberFormat="1" applyFont="1" applyBorder="1" applyAlignment="1">
      <alignment/>
    </xf>
    <xf numFmtId="1" fontId="41" fillId="0" borderId="39" xfId="0" applyNumberFormat="1" applyFont="1" applyBorder="1" applyAlignment="1">
      <alignment/>
    </xf>
    <xf numFmtId="1" fontId="29" fillId="0" borderId="39" xfId="0" applyNumberFormat="1" applyFont="1" applyBorder="1" applyAlignment="1">
      <alignment/>
    </xf>
    <xf numFmtId="0" fontId="29" fillId="0" borderId="44" xfId="0" applyFont="1" applyBorder="1" applyAlignment="1">
      <alignment/>
    </xf>
    <xf numFmtId="0" fontId="38" fillId="0" borderId="39" xfId="0" applyFont="1" applyBorder="1" applyAlignment="1">
      <alignment/>
    </xf>
    <xf numFmtId="1" fontId="38" fillId="0" borderId="39" xfId="0" applyNumberFormat="1" applyFont="1" applyBorder="1" applyAlignment="1">
      <alignment/>
    </xf>
    <xf numFmtId="1" fontId="38" fillId="0" borderId="39" xfId="0" applyNumberFormat="1" applyFont="1" applyFill="1" applyBorder="1" applyAlignment="1">
      <alignment/>
    </xf>
    <xf numFmtId="1" fontId="34" fillId="0" borderId="0" xfId="0" applyNumberFormat="1" applyFont="1" applyAlignment="1">
      <alignment/>
    </xf>
    <xf numFmtId="1" fontId="39" fillId="0" borderId="39" xfId="0" applyNumberFormat="1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left"/>
      <protection/>
    </xf>
    <xf numFmtId="0" fontId="36" fillId="34" borderId="16" xfId="0" applyFont="1" applyFill="1" applyBorder="1" applyAlignment="1" applyProtection="1">
      <alignment horizontal="center" vertical="center"/>
      <protection/>
    </xf>
    <xf numFmtId="0" fontId="42" fillId="34" borderId="45" xfId="0" applyFont="1" applyFill="1" applyBorder="1" applyAlignment="1">
      <alignment horizontal="center"/>
    </xf>
    <xf numFmtId="0" fontId="36" fillId="34" borderId="45" xfId="0" applyFont="1" applyFill="1" applyBorder="1" applyAlignment="1">
      <alignment horizontal="center"/>
    </xf>
    <xf numFmtId="0" fontId="36" fillId="34" borderId="45" xfId="0" applyFont="1" applyFill="1" applyBorder="1" applyAlignment="1" applyProtection="1">
      <alignment horizontal="center"/>
      <protection/>
    </xf>
    <xf numFmtId="0" fontId="36" fillId="34" borderId="20" xfId="0" applyFont="1" applyFill="1" applyBorder="1" applyAlignment="1" applyProtection="1">
      <alignment horizontal="center"/>
      <protection/>
    </xf>
    <xf numFmtId="0" fontId="36" fillId="34" borderId="44" xfId="0" applyFont="1" applyFill="1" applyBorder="1" applyAlignment="1" applyProtection="1">
      <alignment horizontal="center"/>
      <protection/>
    </xf>
    <xf numFmtId="0" fontId="36" fillId="34" borderId="24" xfId="0" applyFont="1" applyFill="1" applyBorder="1" applyAlignment="1" applyProtection="1">
      <alignment horizontal="center"/>
      <protection/>
    </xf>
    <xf numFmtId="0" fontId="36" fillId="34" borderId="12" xfId="0" applyFont="1" applyFill="1" applyBorder="1" applyAlignment="1" applyProtection="1">
      <alignment horizontal="center"/>
      <protection/>
    </xf>
    <xf numFmtId="0" fontId="36" fillId="34" borderId="11" xfId="0" applyFont="1" applyFill="1" applyBorder="1" applyAlignment="1" applyProtection="1">
      <alignment horizontal="left"/>
      <protection/>
    </xf>
    <xf numFmtId="1" fontId="36" fillId="0" borderId="39" xfId="0" applyNumberFormat="1" applyFont="1" applyBorder="1" applyAlignment="1" applyProtection="1">
      <alignment horizontal="center"/>
      <protection locked="0"/>
    </xf>
    <xf numFmtId="1" fontId="36" fillId="34" borderId="39" xfId="0" applyNumberFormat="1" applyFont="1" applyFill="1" applyBorder="1" applyAlignment="1" applyProtection="1">
      <alignment horizontal="center"/>
      <protection/>
    </xf>
    <xf numFmtId="1" fontId="36" fillId="0" borderId="39" xfId="0" applyNumberFormat="1" applyFont="1" applyBorder="1" applyAlignment="1">
      <alignment horizontal="center"/>
    </xf>
    <xf numFmtId="0" fontId="36" fillId="34" borderId="12" xfId="0" applyFont="1" applyFill="1" applyBorder="1" applyAlignment="1" applyProtection="1">
      <alignment horizontal="left"/>
      <protection/>
    </xf>
    <xf numFmtId="0" fontId="36" fillId="34" borderId="25" xfId="0" applyFont="1" applyFill="1" applyBorder="1" applyAlignment="1" applyProtection="1">
      <alignment horizontal="center"/>
      <protection/>
    </xf>
    <xf numFmtId="0" fontId="36" fillId="34" borderId="25" xfId="0" applyFont="1" applyFill="1" applyBorder="1" applyAlignment="1" applyProtection="1">
      <alignment horizontal="left"/>
      <protection/>
    </xf>
    <xf numFmtId="0" fontId="43" fillId="34" borderId="11" xfId="0" applyFont="1" applyFill="1" applyBorder="1" applyAlignment="1" applyProtection="1">
      <alignment horizontal="left"/>
      <protection/>
    </xf>
    <xf numFmtId="0" fontId="43" fillId="34" borderId="46" xfId="0" applyFont="1" applyFill="1" applyBorder="1" applyAlignment="1">
      <alignment/>
    </xf>
    <xf numFmtId="1" fontId="43" fillId="34" borderId="39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45" fillId="0" borderId="47" xfId="0" applyFont="1" applyFill="1" applyBorder="1" applyAlignment="1" applyProtection="1">
      <alignment horizontal="center"/>
      <protection/>
    </xf>
    <xf numFmtId="1" fontId="45" fillId="0" borderId="18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0" fontId="47" fillId="35" borderId="48" xfId="0" applyFont="1" applyFill="1" applyBorder="1" applyAlignment="1" applyProtection="1">
      <alignment horizontal="center"/>
      <protection/>
    </xf>
    <xf numFmtId="1" fontId="47" fillId="35" borderId="12" xfId="0" applyNumberFormat="1" applyFont="1" applyFill="1" applyBorder="1" applyAlignment="1" applyProtection="1">
      <alignment/>
      <protection/>
    </xf>
    <xf numFmtId="0" fontId="45" fillId="0" borderId="49" xfId="0" applyFont="1" applyFill="1" applyBorder="1" applyAlignment="1" applyProtection="1">
      <alignment horizontal="center"/>
      <protection/>
    </xf>
    <xf numFmtId="1" fontId="45" fillId="0" borderId="18" xfId="0" applyNumberFormat="1" applyFont="1" applyFill="1" applyBorder="1" applyAlignment="1" applyProtection="1">
      <alignment horizontal="right"/>
      <protection/>
    </xf>
    <xf numFmtId="1" fontId="16" fillId="0" borderId="13" xfId="0" applyNumberFormat="1" applyFont="1" applyBorder="1" applyAlignment="1" applyProtection="1">
      <alignment horizontal="righ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48" fillId="0" borderId="0" xfId="0" applyFont="1" applyAlignment="1">
      <alignment/>
    </xf>
    <xf numFmtId="0" fontId="47" fillId="0" borderId="42" xfId="0" applyFont="1" applyBorder="1" applyAlignment="1" applyProtection="1">
      <alignment horizontal="left"/>
      <protection/>
    </xf>
    <xf numFmtId="0" fontId="16" fillId="0" borderId="50" xfId="0" applyFont="1" applyBorder="1" applyAlignment="1" applyProtection="1">
      <alignment horizontal="center"/>
      <protection/>
    </xf>
    <xf numFmtId="1" fontId="16" fillId="0" borderId="39" xfId="0" applyNumberFormat="1" applyFont="1" applyBorder="1" applyAlignment="1" applyProtection="1">
      <alignment horizontal="center"/>
      <protection/>
    </xf>
    <xf numFmtId="0" fontId="16" fillId="0" borderId="51" xfId="0" applyFont="1" applyBorder="1" applyAlignment="1" applyProtection="1">
      <alignment horizontal="center"/>
      <protection/>
    </xf>
    <xf numFmtId="0" fontId="16" fillId="0" borderId="52" xfId="0" applyFont="1" applyBorder="1" applyAlignment="1" applyProtection="1">
      <alignment horizontal="center"/>
      <protection/>
    </xf>
    <xf numFmtId="0" fontId="16" fillId="0" borderId="48" xfId="0" applyFont="1" applyBorder="1" applyAlignment="1" applyProtection="1">
      <alignment horizontal="center"/>
      <protection/>
    </xf>
    <xf numFmtId="1" fontId="16" fillId="0" borderId="12" xfId="0" applyNumberFormat="1" applyFont="1" applyBorder="1" applyAlignment="1" applyProtection="1">
      <alignment/>
      <protection/>
    </xf>
    <xf numFmtId="0" fontId="16" fillId="0" borderId="48" xfId="0" applyFont="1" applyBorder="1" applyAlignment="1" applyProtection="1">
      <alignment horizontal="left"/>
      <protection/>
    </xf>
    <xf numFmtId="1" fontId="47" fillId="35" borderId="12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47" fillId="35" borderId="47" xfId="0" applyFont="1" applyFill="1" applyBorder="1" applyAlignment="1" applyProtection="1">
      <alignment horizontal="center"/>
      <protection/>
    </xf>
    <xf numFmtId="1" fontId="47" fillId="0" borderId="12" xfId="0" applyNumberFormat="1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/>
      <protection/>
    </xf>
    <xf numFmtId="172" fontId="45" fillId="0" borderId="0" xfId="0" applyNumberFormat="1" applyFont="1" applyFill="1" applyBorder="1" applyAlignment="1" applyProtection="1">
      <alignment/>
      <protection/>
    </xf>
    <xf numFmtId="172" fontId="45" fillId="0" borderId="0" xfId="0" applyNumberFormat="1" applyFont="1" applyFill="1" applyBorder="1" applyAlignment="1" applyProtection="1">
      <alignment horizontal="right"/>
      <protection/>
    </xf>
    <xf numFmtId="172" fontId="45" fillId="0" borderId="0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Fill="1" applyBorder="1" applyAlignment="1" applyProtection="1">
      <alignment horizontal="right"/>
      <protection/>
    </xf>
    <xf numFmtId="1" fontId="16" fillId="0" borderId="29" xfId="0" applyNumberFormat="1" applyFont="1" applyBorder="1" applyAlignment="1" applyProtection="1">
      <alignment/>
      <protection locked="0"/>
    </xf>
    <xf numFmtId="0" fontId="16" fillId="0" borderId="29" xfId="0" applyFont="1" applyBorder="1" applyAlignment="1" applyProtection="1">
      <alignment/>
      <protection/>
    </xf>
    <xf numFmtId="1" fontId="16" fillId="0" borderId="27" xfId="0" applyNumberFormat="1" applyFont="1" applyBorder="1" applyAlignment="1" applyProtection="1">
      <alignment/>
      <protection locked="0"/>
    </xf>
    <xf numFmtId="0" fontId="16" fillId="0" borderId="27" xfId="0" applyFont="1" applyBorder="1" applyAlignment="1" applyProtection="1">
      <alignment/>
      <protection/>
    </xf>
    <xf numFmtId="0" fontId="47" fillId="0" borderId="48" xfId="0" applyFont="1" applyBorder="1" applyAlignment="1" applyProtection="1">
      <alignment horizontal="center"/>
      <protection/>
    </xf>
    <xf numFmtId="1" fontId="47" fillId="0" borderId="39" xfId="0" applyNumberFormat="1" applyFont="1" applyBorder="1" applyAlignment="1" applyProtection="1">
      <alignment horizontal="center"/>
      <protection/>
    </xf>
    <xf numFmtId="0" fontId="47" fillId="0" borderId="47" xfId="0" applyFont="1" applyBorder="1" applyAlignment="1" applyProtection="1">
      <alignment horizontal="center"/>
      <protection/>
    </xf>
    <xf numFmtId="0" fontId="45" fillId="0" borderId="39" xfId="0" applyFont="1" applyFill="1" applyBorder="1" applyAlignment="1" applyProtection="1">
      <alignment horizontal="center"/>
      <protection/>
    </xf>
    <xf numFmtId="1" fontId="47" fillId="0" borderId="13" xfId="0" applyNumberFormat="1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1" fontId="47" fillId="0" borderId="0" xfId="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1" fontId="43" fillId="34" borderId="52" xfId="0" applyNumberFormat="1" applyFont="1" applyFill="1" applyBorder="1" applyAlignment="1" applyProtection="1">
      <alignment horizontal="center"/>
      <protection/>
    </xf>
    <xf numFmtId="1" fontId="36" fillId="0" borderId="39" xfId="0" applyNumberFormat="1" applyFont="1" applyBorder="1" applyAlignment="1">
      <alignment horizontal="right"/>
    </xf>
    <xf numFmtId="0" fontId="36" fillId="0" borderId="39" xfId="0" applyFont="1" applyBorder="1" applyAlignment="1">
      <alignment horizontal="right"/>
    </xf>
    <xf numFmtId="0" fontId="47" fillId="0" borderId="53" xfId="0" applyFont="1" applyBorder="1" applyAlignment="1" applyProtection="1">
      <alignment horizontal="center"/>
      <protection/>
    </xf>
    <xf numFmtId="1" fontId="47" fillId="0" borderId="17" xfId="0" applyNumberFormat="1" applyFont="1" applyBorder="1" applyAlignment="1" applyProtection="1">
      <alignment horizontal="center"/>
      <protection/>
    </xf>
    <xf numFmtId="0" fontId="47" fillId="0" borderId="19" xfId="0" applyFont="1" applyBorder="1" applyAlignment="1" applyProtection="1">
      <alignment horizontal="center"/>
      <protection/>
    </xf>
    <xf numFmtId="0" fontId="47" fillId="0" borderId="51" xfId="0" applyFont="1" applyBorder="1" applyAlignment="1" applyProtection="1">
      <alignment horizontal="center"/>
      <protection/>
    </xf>
    <xf numFmtId="1" fontId="47" fillId="0" borderId="13" xfId="0" applyNumberFormat="1" applyFont="1" applyBorder="1" applyAlignment="1" applyProtection="1">
      <alignment horizontal="right"/>
      <protection/>
    </xf>
    <xf numFmtId="0" fontId="16" fillId="0" borderId="18" xfId="0" applyFont="1" applyBorder="1" applyAlignment="1" applyProtection="1">
      <alignment horizontal="left"/>
      <protection/>
    </xf>
    <xf numFmtId="0" fontId="16" fillId="0" borderId="54" xfId="0" applyFont="1" applyBorder="1" applyAlignment="1" applyProtection="1">
      <alignment horizontal="center"/>
      <protection/>
    </xf>
    <xf numFmtId="0" fontId="16" fillId="0" borderId="39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6" fillId="34" borderId="15" xfId="0" applyFont="1" applyFill="1" applyBorder="1" applyAlignment="1" applyProtection="1">
      <alignment/>
      <protection locked="0"/>
    </xf>
    <xf numFmtId="0" fontId="16" fillId="33" borderId="39" xfId="0" applyFont="1" applyFill="1" applyBorder="1" applyAlignment="1" applyProtection="1">
      <alignment horizontal="left"/>
      <protection locked="0"/>
    </xf>
    <xf numFmtId="0" fontId="16" fillId="34" borderId="33" xfId="0" applyFont="1" applyFill="1" applyBorder="1" applyAlignment="1" applyProtection="1">
      <alignment horizontal="center" vertical="center"/>
      <protection locked="0"/>
    </xf>
    <xf numFmtId="0" fontId="16" fillId="34" borderId="36" xfId="0" applyFont="1" applyFill="1" applyBorder="1" applyAlignment="1" applyProtection="1">
      <alignment horizontal="center" vertical="center"/>
      <protection locked="0"/>
    </xf>
    <xf numFmtId="0" fontId="16" fillId="34" borderId="34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/>
      <protection locked="0"/>
    </xf>
    <xf numFmtId="172" fontId="16" fillId="33" borderId="28" xfId="0" applyNumberFormat="1" applyFont="1" applyFill="1" applyBorder="1" applyAlignment="1" applyProtection="1">
      <alignment/>
      <protection locked="0"/>
    </xf>
    <xf numFmtId="0" fontId="16" fillId="33" borderId="39" xfId="0" applyFont="1" applyFill="1" applyBorder="1" applyAlignment="1" applyProtection="1">
      <alignment horizontal="center"/>
      <protection locked="0"/>
    </xf>
    <xf numFmtId="0" fontId="16" fillId="0" borderId="39" xfId="0" applyFont="1" applyBorder="1" applyAlignment="1">
      <alignment/>
    </xf>
    <xf numFmtId="172" fontId="16" fillId="0" borderId="39" xfId="0" applyNumberFormat="1" applyFont="1" applyBorder="1" applyAlignment="1">
      <alignment/>
    </xf>
    <xf numFmtId="174" fontId="16" fillId="34" borderId="25" xfId="0" applyNumberFormat="1" applyFont="1" applyFill="1" applyBorder="1" applyAlignment="1" applyProtection="1">
      <alignment horizontal="right"/>
      <protection locked="0"/>
    </xf>
    <xf numFmtId="0" fontId="16" fillId="33" borderId="19" xfId="0" applyFont="1" applyFill="1" applyBorder="1" applyAlignment="1" applyProtection="1">
      <alignment horizontal="right"/>
      <protection locked="0"/>
    </xf>
    <xf numFmtId="0" fontId="16" fillId="33" borderId="16" xfId="0" applyFont="1" applyFill="1" applyBorder="1" applyAlignment="1" applyProtection="1">
      <alignment horizontal="right"/>
      <protection locked="0"/>
    </xf>
    <xf numFmtId="174" fontId="16" fillId="34" borderId="31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Border="1" applyAlignment="1">
      <alignment horizontal="left"/>
    </xf>
    <xf numFmtId="0" fontId="23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55" xfId="0" applyFont="1" applyBorder="1" applyAlignment="1">
      <alignment horizontal="left"/>
    </xf>
    <xf numFmtId="2" fontId="51" fillId="0" borderId="56" xfId="0" applyNumberFormat="1" applyFont="1" applyBorder="1" applyAlignment="1">
      <alignment horizontal="right"/>
    </xf>
    <xf numFmtId="2" fontId="51" fillId="0" borderId="57" xfId="0" applyNumberFormat="1" applyFont="1" applyBorder="1" applyAlignment="1">
      <alignment horizontal="right"/>
    </xf>
    <xf numFmtId="0" fontId="51" fillId="0" borderId="58" xfId="0" applyFont="1" applyBorder="1" applyAlignment="1">
      <alignment horizontal="left"/>
    </xf>
    <xf numFmtId="2" fontId="51" fillId="0" borderId="39" xfId="0" applyNumberFormat="1" applyFont="1" applyFill="1" applyBorder="1" applyAlignment="1">
      <alignment horizontal="right"/>
    </xf>
    <xf numFmtId="2" fontId="51" fillId="0" borderId="39" xfId="0" applyNumberFormat="1" applyFont="1" applyBorder="1" applyAlignment="1">
      <alignment horizontal="right"/>
    </xf>
    <xf numFmtId="2" fontId="51" fillId="0" borderId="59" xfId="0" applyNumberFormat="1" applyFont="1" applyBorder="1" applyAlignment="1">
      <alignment horizontal="right"/>
    </xf>
    <xf numFmtId="0" fontId="51" fillId="0" borderId="58" xfId="0" applyFont="1" applyBorder="1" applyAlignment="1">
      <alignment horizontal="left" vertical="top" wrapText="1"/>
    </xf>
    <xf numFmtId="0" fontId="52" fillId="0" borderId="60" xfId="0" applyFont="1" applyBorder="1" applyAlignment="1">
      <alignment horizontal="center"/>
    </xf>
    <xf numFmtId="2" fontId="52" fillId="0" borderId="61" xfId="0" applyNumberFormat="1" applyFont="1" applyFill="1" applyBorder="1" applyAlignment="1">
      <alignment horizontal="right"/>
    </xf>
    <xf numFmtId="2" fontId="52" fillId="0" borderId="62" xfId="0" applyNumberFormat="1" applyFont="1" applyBorder="1" applyAlignment="1">
      <alignment horizontal="right"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172" fontId="51" fillId="0" borderId="56" xfId="0" applyNumberFormat="1" applyFont="1" applyBorder="1" applyAlignment="1">
      <alignment horizontal="right"/>
    </xf>
    <xf numFmtId="172" fontId="51" fillId="0" borderId="57" xfId="0" applyNumberFormat="1" applyFont="1" applyBorder="1" applyAlignment="1">
      <alignment horizontal="right"/>
    </xf>
    <xf numFmtId="172" fontId="51" fillId="0" borderId="39" xfId="0" applyNumberFormat="1" applyFont="1" applyFill="1" applyBorder="1" applyAlignment="1">
      <alignment horizontal="right"/>
    </xf>
    <xf numFmtId="172" fontId="51" fillId="0" borderId="39" xfId="0" applyNumberFormat="1" applyFont="1" applyBorder="1" applyAlignment="1">
      <alignment horizontal="right"/>
    </xf>
    <xf numFmtId="172" fontId="51" fillId="0" borderId="59" xfId="0" applyNumberFormat="1" applyFont="1" applyBorder="1" applyAlignment="1">
      <alignment horizontal="right"/>
    </xf>
    <xf numFmtId="172" fontId="52" fillId="0" borderId="61" xfId="0" applyNumberFormat="1" applyFont="1" applyFill="1" applyBorder="1" applyAlignment="1">
      <alignment horizontal="right"/>
    </xf>
    <xf numFmtId="172" fontId="52" fillId="0" borderId="62" xfId="0" applyNumberFormat="1" applyFont="1" applyBorder="1" applyAlignment="1">
      <alignment horizontal="right"/>
    </xf>
    <xf numFmtId="0" fontId="52" fillId="0" borderId="55" xfId="0" applyFont="1" applyBorder="1" applyAlignment="1">
      <alignment horizontal="center"/>
    </xf>
    <xf numFmtId="0" fontId="52" fillId="0" borderId="56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172" fontId="51" fillId="0" borderId="39" xfId="0" applyNumberFormat="1" applyFont="1" applyFill="1" applyBorder="1" applyAlignment="1">
      <alignment horizontal="right" vertical="top"/>
    </xf>
    <xf numFmtId="172" fontId="51" fillId="0" borderId="39" xfId="0" applyNumberFormat="1" applyFont="1" applyBorder="1" applyAlignment="1">
      <alignment horizontal="right" vertical="top"/>
    </xf>
    <xf numFmtId="172" fontId="51" fillId="0" borderId="59" xfId="0" applyNumberFormat="1" applyFont="1" applyBorder="1" applyAlignment="1">
      <alignment horizontal="right" vertical="top"/>
    </xf>
    <xf numFmtId="172" fontId="52" fillId="0" borderId="62" xfId="0" applyNumberFormat="1" applyFont="1" applyFill="1" applyBorder="1" applyAlignment="1">
      <alignment horizontal="right"/>
    </xf>
    <xf numFmtId="0" fontId="54" fillId="0" borderId="0" xfId="0" applyFont="1" applyAlignment="1">
      <alignment horizontal="left"/>
    </xf>
    <xf numFmtId="0" fontId="47" fillId="0" borderId="63" xfId="0" applyFont="1" applyBorder="1" applyAlignment="1" applyProtection="1">
      <alignment horizontal="center"/>
      <protection/>
    </xf>
    <xf numFmtId="0" fontId="36" fillId="33" borderId="39" xfId="0" applyFont="1" applyFill="1" applyBorder="1" applyAlignment="1" applyProtection="1">
      <alignment horizontal="center"/>
      <protection/>
    </xf>
    <xf numFmtId="0" fontId="36" fillId="33" borderId="39" xfId="0" applyFont="1" applyFill="1" applyBorder="1" applyAlignment="1" applyProtection="1">
      <alignment horizontal="left"/>
      <protection/>
    </xf>
    <xf numFmtId="0" fontId="36" fillId="0" borderId="39" xfId="0" applyFont="1" applyBorder="1" applyAlignment="1">
      <alignment horizontal="left"/>
    </xf>
    <xf numFmtId="0" fontId="36" fillId="33" borderId="39" xfId="0" applyFont="1" applyFill="1" applyBorder="1" applyAlignment="1">
      <alignment/>
    </xf>
    <xf numFmtId="0" fontId="36" fillId="33" borderId="39" xfId="0" applyFont="1" applyFill="1" applyBorder="1" applyAlignment="1">
      <alignment horizontal="right"/>
    </xf>
    <xf numFmtId="0" fontId="36" fillId="0" borderId="39" xfId="0" applyFont="1" applyBorder="1" applyAlignment="1">
      <alignment/>
    </xf>
    <xf numFmtId="0" fontId="43" fillId="34" borderId="39" xfId="0" applyFont="1" applyFill="1" applyBorder="1" applyAlignment="1" applyProtection="1">
      <alignment horizontal="center"/>
      <protection/>
    </xf>
    <xf numFmtId="0" fontId="36" fillId="0" borderId="39" xfId="0" applyFont="1" applyBorder="1" applyAlignment="1">
      <alignment/>
    </xf>
    <xf numFmtId="0" fontId="36" fillId="34" borderId="39" xfId="0" applyFont="1" applyFill="1" applyBorder="1" applyAlignment="1">
      <alignment/>
    </xf>
    <xf numFmtId="2" fontId="51" fillId="0" borderId="61" xfId="0" applyNumberFormat="1" applyFont="1" applyFill="1" applyBorder="1" applyAlignment="1">
      <alignment horizontal="right"/>
    </xf>
    <xf numFmtId="2" fontId="51" fillId="0" borderId="62" xfId="0" applyNumberFormat="1" applyFont="1" applyBorder="1" applyAlignment="1">
      <alignment horizontal="right"/>
    </xf>
    <xf numFmtId="172" fontId="51" fillId="0" borderId="61" xfId="0" applyNumberFormat="1" applyFont="1" applyFill="1" applyBorder="1" applyAlignment="1">
      <alignment horizontal="right"/>
    </xf>
    <xf numFmtId="172" fontId="51" fillId="0" borderId="62" xfId="0" applyNumberFormat="1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1" fontId="51" fillId="0" borderId="0" xfId="0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Border="1" applyAlignment="1">
      <alignment horizontal="right" vertical="top"/>
    </xf>
    <xf numFmtId="0" fontId="51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center"/>
    </xf>
    <xf numFmtId="1" fontId="52" fillId="0" borderId="0" xfId="0" applyNumberFormat="1" applyFont="1" applyBorder="1" applyAlignment="1">
      <alignment horizontal="right"/>
    </xf>
    <xf numFmtId="0" fontId="53" fillId="0" borderId="0" xfId="0" applyFont="1" applyAlignment="1">
      <alignment horizontal="right"/>
    </xf>
    <xf numFmtId="172" fontId="49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34" fillId="0" borderId="0" xfId="0" applyFont="1" applyAlignment="1">
      <alignment/>
    </xf>
    <xf numFmtId="0" fontId="57" fillId="0" borderId="5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1" fontId="9" fillId="0" borderId="39" xfId="0" applyNumberFormat="1" applyFont="1" applyBorder="1" applyAlignment="1">
      <alignment vertical="top"/>
    </xf>
    <xf numFmtId="172" fontId="9" fillId="0" borderId="39" xfId="0" applyNumberFormat="1" applyFont="1" applyBorder="1" applyAlignment="1">
      <alignment vertical="top"/>
    </xf>
    <xf numFmtId="172" fontId="9" fillId="0" borderId="39" xfId="0" applyNumberFormat="1" applyFont="1" applyFill="1" applyBorder="1" applyAlignment="1">
      <alignment vertical="top"/>
    </xf>
    <xf numFmtId="1" fontId="49" fillId="0" borderId="39" xfId="0" applyNumberFormat="1" applyFont="1" applyFill="1" applyBorder="1" applyAlignment="1">
      <alignment vertical="top"/>
    </xf>
    <xf numFmtId="172" fontId="49" fillId="0" borderId="39" xfId="0" applyNumberFormat="1" applyFont="1" applyFill="1" applyBorder="1" applyAlignment="1">
      <alignment vertical="top"/>
    </xf>
    <xf numFmtId="1" fontId="9" fillId="0" borderId="61" xfId="0" applyNumberFormat="1" applyFont="1" applyFill="1" applyBorder="1" applyAlignment="1">
      <alignment vertical="top"/>
    </xf>
    <xf numFmtId="172" fontId="9" fillId="0" borderId="61" xfId="0" applyNumberFormat="1" applyFont="1" applyFill="1" applyBorder="1" applyAlignment="1">
      <alignment vertical="top"/>
    </xf>
    <xf numFmtId="172" fontId="9" fillId="0" borderId="61" xfId="0" applyNumberFormat="1" applyFont="1" applyBorder="1" applyAlignment="1">
      <alignment vertical="top"/>
    </xf>
    <xf numFmtId="0" fontId="49" fillId="0" borderId="58" xfId="0" applyFont="1" applyBorder="1" applyAlignment="1">
      <alignment horizontal="right" vertical="top"/>
    </xf>
    <xf numFmtId="0" fontId="9" fillId="0" borderId="60" xfId="0" applyFont="1" applyBorder="1" applyAlignment="1">
      <alignment horizontal="right" vertical="top"/>
    </xf>
    <xf numFmtId="0" fontId="49" fillId="0" borderId="39" xfId="0" applyFont="1" applyBorder="1" applyAlignment="1">
      <alignment horizontal="center" vertical="top"/>
    </xf>
    <xf numFmtId="0" fontId="9" fillId="0" borderId="58" xfId="0" applyFont="1" applyBorder="1" applyAlignment="1">
      <alignment horizontal="left" vertical="top"/>
    </xf>
    <xf numFmtId="0" fontId="49" fillId="0" borderId="0" xfId="0" applyFont="1" applyAlignment="1">
      <alignment/>
    </xf>
    <xf numFmtId="0" fontId="56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49" fillId="0" borderId="39" xfId="0" applyFont="1" applyBorder="1" applyAlignment="1">
      <alignment/>
    </xf>
    <xf numFmtId="0" fontId="56" fillId="0" borderId="59" xfId="0" applyFont="1" applyBorder="1" applyAlignment="1">
      <alignment horizontal="center"/>
    </xf>
    <xf numFmtId="0" fontId="9" fillId="0" borderId="59" xfId="0" applyFont="1" applyBorder="1" applyAlignment="1">
      <alignment/>
    </xf>
    <xf numFmtId="0" fontId="49" fillId="0" borderId="59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50" fillId="0" borderId="0" xfId="0" applyFont="1" applyAlignment="1">
      <alignment/>
    </xf>
    <xf numFmtId="1" fontId="49" fillId="0" borderId="0" xfId="0" applyNumberFormat="1" applyFont="1" applyFill="1" applyBorder="1" applyAlignment="1">
      <alignment vertical="top"/>
    </xf>
    <xf numFmtId="172" fontId="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16" fillId="0" borderId="48" xfId="0" applyFont="1" applyBorder="1" applyAlignment="1" applyProtection="1">
      <alignment horizontal="center" vertical="top" wrapText="1"/>
      <protection/>
    </xf>
    <xf numFmtId="1" fontId="16" fillId="0" borderId="12" xfId="0" applyNumberFormat="1" applyFont="1" applyBorder="1" applyAlignment="1" applyProtection="1">
      <alignment vertical="top"/>
      <protection/>
    </xf>
    <xf numFmtId="1" fontId="16" fillId="0" borderId="13" xfId="0" applyNumberFormat="1" applyFont="1" applyBorder="1" applyAlignment="1" applyProtection="1">
      <alignment vertical="top"/>
      <protection/>
    </xf>
    <xf numFmtId="0" fontId="0" fillId="0" borderId="0" xfId="0" applyAlignment="1">
      <alignment/>
    </xf>
    <xf numFmtId="0" fontId="43" fillId="34" borderId="39" xfId="0" applyFont="1" applyFill="1" applyBorder="1" applyAlignment="1">
      <alignment/>
    </xf>
    <xf numFmtId="1" fontId="43" fillId="34" borderId="39" xfId="0" applyNumberFormat="1" applyFont="1" applyFill="1" applyBorder="1" applyAlignment="1" applyProtection="1">
      <alignment horizontal="left"/>
      <protection/>
    </xf>
    <xf numFmtId="0" fontId="53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63" fillId="0" borderId="0" xfId="0" applyFont="1" applyAlignment="1">
      <alignment horizontal="center"/>
    </xf>
    <xf numFmtId="0" fontId="59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Fill="1" applyAlignment="1">
      <alignment horizontal="center"/>
    </xf>
    <xf numFmtId="0" fontId="63" fillId="0" borderId="0" xfId="0" applyFont="1" applyAlignment="1">
      <alignment horizontal="left" vertical="top"/>
    </xf>
    <xf numFmtId="0" fontId="60" fillId="0" borderId="39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7" fillId="0" borderId="64" xfId="0" applyFont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3" fillId="0" borderId="0" xfId="0" applyFont="1" applyAlignment="1">
      <alignment/>
    </xf>
    <xf numFmtId="0" fontId="69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70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0" fillId="0" borderId="44" xfId="0" applyFont="1" applyBorder="1" applyAlignment="1">
      <alignment vertical="center"/>
    </xf>
    <xf numFmtId="0" fontId="60" fillId="0" borderId="39" xfId="0" applyFont="1" applyBorder="1" applyAlignment="1">
      <alignment vertical="center"/>
    </xf>
    <xf numFmtId="0" fontId="60" fillId="0" borderId="42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59" fillId="0" borderId="58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0" fillId="0" borderId="61" xfId="0" applyFont="1" applyBorder="1" applyAlignment="1">
      <alignment vertical="center"/>
    </xf>
    <xf numFmtId="172" fontId="71" fillId="0" borderId="39" xfId="0" applyNumberFormat="1" applyFont="1" applyBorder="1" applyAlignment="1">
      <alignment vertical="center"/>
    </xf>
    <xf numFmtId="172" fontId="71" fillId="0" borderId="59" xfId="0" applyNumberFormat="1" applyFont="1" applyBorder="1" applyAlignment="1">
      <alignment vertical="center"/>
    </xf>
    <xf numFmtId="172" fontId="71" fillId="0" borderId="39" xfId="0" applyNumberFormat="1" applyFont="1" applyFill="1" applyBorder="1" applyAlignment="1">
      <alignment vertical="center"/>
    </xf>
    <xf numFmtId="0" fontId="72" fillId="0" borderId="0" xfId="0" applyFont="1" applyAlignment="1">
      <alignment vertical="center"/>
    </xf>
    <xf numFmtId="172" fontId="71" fillId="0" borderId="42" xfId="0" applyNumberFormat="1" applyFont="1" applyFill="1" applyBorder="1" applyAlignment="1">
      <alignment vertical="center"/>
    </xf>
    <xf numFmtId="172" fontId="71" fillId="0" borderId="66" xfId="0" applyNumberFormat="1" applyFont="1" applyFill="1" applyBorder="1" applyAlignment="1">
      <alignment vertical="center"/>
    </xf>
    <xf numFmtId="0" fontId="73" fillId="0" borderId="0" xfId="0" applyFont="1" applyAlignment="1">
      <alignment vertical="center"/>
    </xf>
    <xf numFmtId="172" fontId="71" fillId="0" borderId="42" xfId="0" applyNumberFormat="1" applyFont="1" applyBorder="1" applyAlignment="1">
      <alignment vertical="center"/>
    </xf>
    <xf numFmtId="172" fontId="71" fillId="0" borderId="66" xfId="0" applyNumberFormat="1" applyFont="1" applyBorder="1" applyAlignment="1">
      <alignment vertical="center"/>
    </xf>
    <xf numFmtId="172" fontId="71" fillId="0" borderId="44" xfId="0" applyNumberFormat="1" applyFont="1" applyBorder="1" applyAlignment="1">
      <alignment vertical="center"/>
    </xf>
    <xf numFmtId="172" fontId="71" fillId="0" borderId="67" xfId="0" applyNumberFormat="1" applyFont="1" applyBorder="1" applyAlignment="1">
      <alignment vertical="center"/>
    </xf>
    <xf numFmtId="172" fontId="71" fillId="0" borderId="61" xfId="0" applyNumberFormat="1" applyFont="1" applyBorder="1" applyAlignment="1">
      <alignment vertical="center"/>
    </xf>
    <xf numFmtId="172" fontId="71" fillId="0" borderId="62" xfId="0" applyNumberFormat="1" applyFont="1" applyBorder="1" applyAlignment="1">
      <alignment vertical="center"/>
    </xf>
    <xf numFmtId="172" fontId="71" fillId="0" borderId="44" xfId="0" applyNumberFormat="1" applyFont="1" applyFill="1" applyBorder="1" applyAlignment="1">
      <alignment vertical="center"/>
    </xf>
    <xf numFmtId="172" fontId="71" fillId="0" borderId="61" xfId="0" applyNumberFormat="1" applyFont="1" applyFill="1" applyBorder="1" applyAlignment="1">
      <alignment vertic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2" fontId="52" fillId="0" borderId="44" xfId="0" applyNumberFormat="1" applyFont="1" applyFill="1" applyBorder="1" applyAlignment="1">
      <alignment vertical="center"/>
    </xf>
    <xf numFmtId="172" fontId="77" fillId="0" borderId="39" xfId="0" applyNumberFormat="1" applyFont="1" applyFill="1" applyBorder="1" applyAlignment="1">
      <alignment vertical="center"/>
    </xf>
    <xf numFmtId="172" fontId="77" fillId="0" borderId="39" xfId="0" applyNumberFormat="1" applyFont="1" applyBorder="1" applyAlignment="1">
      <alignment vertical="center"/>
    </xf>
    <xf numFmtId="172" fontId="77" fillId="0" borderId="42" xfId="0" applyNumberFormat="1" applyFont="1" applyFill="1" applyBorder="1" applyAlignment="1">
      <alignment vertical="center"/>
    </xf>
    <xf numFmtId="172" fontId="52" fillId="0" borderId="44" xfId="0" applyNumberFormat="1" applyFont="1" applyBorder="1" applyAlignment="1">
      <alignment vertical="center"/>
    </xf>
    <xf numFmtId="172" fontId="49" fillId="0" borderId="39" xfId="0" applyNumberFormat="1" applyFont="1" applyBorder="1" applyAlignment="1">
      <alignment vertical="center"/>
    </xf>
    <xf numFmtId="172" fontId="49" fillId="0" borderId="44" xfId="0" applyNumberFormat="1" applyFont="1" applyBorder="1" applyAlignment="1">
      <alignment vertical="center"/>
    </xf>
    <xf numFmtId="0" fontId="81" fillId="0" borderId="0" xfId="0" applyFont="1" applyAlignment="1">
      <alignment vertical="center"/>
    </xf>
    <xf numFmtId="172" fontId="83" fillId="0" borderId="39" xfId="0" applyNumberFormat="1" applyFont="1" applyBorder="1" applyAlignment="1">
      <alignment vertical="center"/>
    </xf>
    <xf numFmtId="172" fontId="84" fillId="0" borderId="39" xfId="0" applyNumberFormat="1" applyFont="1" applyBorder="1" applyAlignment="1">
      <alignment vertical="center"/>
    </xf>
    <xf numFmtId="0" fontId="85" fillId="0" borderId="0" xfId="0" applyFont="1" applyAlignment="1">
      <alignment vertical="center"/>
    </xf>
    <xf numFmtId="0" fontId="86" fillId="0" borderId="39" xfId="0" applyFont="1" applyBorder="1" applyAlignment="1">
      <alignment vertical="center"/>
    </xf>
    <xf numFmtId="172" fontId="87" fillId="0" borderId="39" xfId="0" applyNumberFormat="1" applyFont="1" applyBorder="1" applyAlignment="1">
      <alignment vertical="center"/>
    </xf>
    <xf numFmtId="172" fontId="88" fillId="0" borderId="39" xfId="0" applyNumberFormat="1" applyFont="1" applyFill="1" applyBorder="1" applyAlignment="1">
      <alignment vertical="center"/>
    </xf>
    <xf numFmtId="172" fontId="87" fillId="0" borderId="39" xfId="0" applyNumberFormat="1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90" fillId="0" borderId="39" xfId="0" applyFont="1" applyBorder="1" applyAlignment="1">
      <alignment vertical="center"/>
    </xf>
    <xf numFmtId="172" fontId="91" fillId="0" borderId="39" xfId="0" applyNumberFormat="1" applyFont="1" applyBorder="1" applyAlignment="1">
      <alignment vertical="center"/>
    </xf>
    <xf numFmtId="172" fontId="91" fillId="0" borderId="39" xfId="0" applyNumberFormat="1" applyFont="1" applyFill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39" xfId="0" applyFont="1" applyBorder="1" applyAlignment="1">
      <alignment vertical="center"/>
    </xf>
    <xf numFmtId="172" fontId="94" fillId="0" borderId="39" xfId="0" applyNumberFormat="1" applyFont="1" applyBorder="1" applyAlignment="1">
      <alignment vertical="center"/>
    </xf>
    <xf numFmtId="172" fontId="94" fillId="0" borderId="39" xfId="0" applyNumberFormat="1" applyFont="1" applyFill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39" xfId="0" applyFont="1" applyBorder="1" applyAlignment="1">
      <alignment vertical="center"/>
    </xf>
    <xf numFmtId="172" fontId="97" fillId="0" borderId="39" xfId="0" applyNumberFormat="1" applyFont="1" applyBorder="1" applyAlignment="1">
      <alignment vertical="center"/>
    </xf>
    <xf numFmtId="172" fontId="97" fillId="0" borderId="39" xfId="0" applyNumberFormat="1" applyFont="1" applyFill="1" applyBorder="1" applyAlignment="1">
      <alignment vertical="center"/>
    </xf>
    <xf numFmtId="0" fontId="98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67" fillId="0" borderId="39" xfId="0" applyFont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79" fillId="0" borderId="39" xfId="0" applyFont="1" applyBorder="1" applyAlignment="1">
      <alignment vertical="center"/>
    </xf>
    <xf numFmtId="172" fontId="80" fillId="0" borderId="39" xfId="0" applyNumberFormat="1" applyFont="1" applyBorder="1" applyAlignment="1">
      <alignment vertical="center"/>
    </xf>
    <xf numFmtId="172" fontId="80" fillId="0" borderId="39" xfId="0" applyNumberFormat="1" applyFont="1" applyFill="1" applyBorder="1" applyAlignment="1">
      <alignment vertical="center"/>
    </xf>
    <xf numFmtId="172" fontId="52" fillId="0" borderId="39" xfId="0" applyNumberFormat="1" applyFont="1" applyFill="1" applyBorder="1" applyAlignment="1">
      <alignment vertical="center"/>
    </xf>
    <xf numFmtId="0" fontId="59" fillId="0" borderId="57" xfId="0" applyFont="1" applyBorder="1" applyAlignment="1">
      <alignment horizontal="center"/>
    </xf>
    <xf numFmtId="0" fontId="59" fillId="0" borderId="59" xfId="0" applyFont="1" applyBorder="1" applyAlignment="1">
      <alignment/>
    </xf>
    <xf numFmtId="172" fontId="64" fillId="0" borderId="59" xfId="0" applyNumberFormat="1" applyFont="1" applyBorder="1" applyAlignment="1">
      <alignment vertical="center"/>
    </xf>
    <xf numFmtId="172" fontId="80" fillId="0" borderId="59" xfId="0" applyNumberFormat="1" applyFont="1" applyBorder="1" applyAlignment="1">
      <alignment vertical="center"/>
    </xf>
    <xf numFmtId="172" fontId="64" fillId="0" borderId="62" xfId="0" applyNumberFormat="1" applyFont="1" applyBorder="1" applyAlignment="1">
      <alignment vertical="center"/>
    </xf>
    <xf numFmtId="172" fontId="52" fillId="0" borderId="42" xfId="0" applyNumberFormat="1" applyFont="1" applyBorder="1" applyAlignment="1">
      <alignment vertical="center"/>
    </xf>
    <xf numFmtId="172" fontId="52" fillId="0" borderId="39" xfId="0" applyNumberFormat="1" applyFont="1" applyBorder="1" applyAlignment="1">
      <alignment vertical="center"/>
    </xf>
    <xf numFmtId="0" fontId="67" fillId="0" borderId="68" xfId="0" applyFont="1" applyBorder="1" applyAlignment="1">
      <alignment horizontal="center" vertical="center"/>
    </xf>
    <xf numFmtId="0" fontId="67" fillId="0" borderId="64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70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0" fillId="0" borderId="69" xfId="0" applyFont="1" applyFill="1" applyBorder="1" applyAlignment="1">
      <alignment horizontal="center" vertical="top"/>
    </xf>
    <xf numFmtId="0" fontId="60" fillId="0" borderId="70" xfId="0" applyFont="1" applyFill="1" applyBorder="1" applyAlignment="1">
      <alignment horizontal="center" vertical="top"/>
    </xf>
    <xf numFmtId="0" fontId="60" fillId="0" borderId="69" xfId="0" applyFont="1" applyBorder="1" applyAlignment="1">
      <alignment horizontal="center" vertical="top"/>
    </xf>
    <xf numFmtId="0" fontId="60" fillId="0" borderId="70" xfId="0" applyFont="1" applyBorder="1" applyAlignment="1">
      <alignment horizontal="center" vertical="top"/>
    </xf>
    <xf numFmtId="0" fontId="60" fillId="0" borderId="56" xfId="0" applyFont="1" applyBorder="1" applyAlignment="1">
      <alignment horizontal="center" vertical="top"/>
    </xf>
    <xf numFmtId="0" fontId="59" fillId="0" borderId="71" xfId="0" applyFont="1" applyBorder="1" applyAlignment="1">
      <alignment vertical="center"/>
    </xf>
    <xf numFmtId="0" fontId="59" fillId="0" borderId="72" xfId="0" applyFont="1" applyBorder="1" applyAlignment="1">
      <alignment vertical="center"/>
    </xf>
    <xf numFmtId="0" fontId="60" fillId="0" borderId="58" xfId="0" applyFont="1" applyBorder="1" applyAlignment="1">
      <alignment vertical="center"/>
    </xf>
    <xf numFmtId="0" fontId="60" fillId="0" borderId="39" xfId="0" applyFont="1" applyBorder="1" applyAlignment="1">
      <alignment vertical="center"/>
    </xf>
    <xf numFmtId="0" fontId="60" fillId="0" borderId="57" xfId="0" applyFont="1" applyBorder="1" applyAlignment="1">
      <alignment horizontal="center" vertical="top"/>
    </xf>
    <xf numFmtId="0" fontId="60" fillId="0" borderId="73" xfId="0" applyFont="1" applyBorder="1" applyAlignment="1">
      <alignment vertical="center" textRotation="90"/>
    </xf>
    <xf numFmtId="0" fontId="60" fillId="0" borderId="58" xfId="0" applyFont="1" applyBorder="1" applyAlignment="1">
      <alignment vertical="center" textRotation="90"/>
    </xf>
    <xf numFmtId="0" fontId="60" fillId="0" borderId="74" xfId="0" applyFont="1" applyBorder="1" applyAlignment="1">
      <alignment vertical="center" textRotation="90"/>
    </xf>
    <xf numFmtId="0" fontId="59" fillId="0" borderId="58" xfId="0" applyFont="1" applyBorder="1" applyAlignment="1">
      <alignment vertical="center"/>
    </xf>
    <xf numFmtId="0" fontId="59" fillId="0" borderId="74" xfId="0" applyFont="1" applyBorder="1" applyAlignment="1">
      <alignment vertical="center"/>
    </xf>
    <xf numFmtId="0" fontId="60" fillId="0" borderId="55" xfId="0" applyFont="1" applyBorder="1" applyAlignment="1">
      <alignment horizontal="center" vertical="top" wrapText="1"/>
    </xf>
    <xf numFmtId="0" fontId="60" fillId="0" borderId="56" xfId="0" applyFont="1" applyBorder="1" applyAlignment="1">
      <alignment horizontal="center" vertical="top" wrapText="1"/>
    </xf>
    <xf numFmtId="0" fontId="60" fillId="0" borderId="58" xfId="0" applyFont="1" applyBorder="1" applyAlignment="1">
      <alignment horizontal="center" vertical="top" wrapText="1"/>
    </xf>
    <xf numFmtId="0" fontId="60" fillId="0" borderId="39" xfId="0" applyFont="1" applyBorder="1" applyAlignment="1">
      <alignment horizontal="center" vertical="top" wrapText="1"/>
    </xf>
    <xf numFmtId="0" fontId="59" fillId="0" borderId="60" xfId="0" applyFont="1" applyBorder="1" applyAlignment="1">
      <alignment vertical="center"/>
    </xf>
    <xf numFmtId="0" fontId="82" fillId="0" borderId="58" xfId="0" applyFont="1" applyBorder="1" applyAlignment="1">
      <alignment vertical="center"/>
    </xf>
    <xf numFmtId="0" fontId="82" fillId="0" borderId="39" xfId="0" applyFont="1" applyBorder="1" applyAlignment="1">
      <alignment vertical="center"/>
    </xf>
    <xf numFmtId="0" fontId="78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top"/>
    </xf>
    <xf numFmtId="0" fontId="67" fillId="0" borderId="5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54" fillId="0" borderId="0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center"/>
    </xf>
    <xf numFmtId="0" fontId="50" fillId="0" borderId="0" xfId="0" applyFont="1" applyAlignment="1">
      <alignment horizontal="left"/>
    </xf>
    <xf numFmtId="0" fontId="16" fillId="0" borderId="42" xfId="0" applyFont="1" applyBorder="1" applyAlignment="1">
      <alignment horizontal="center" vertical="center" textRotation="90"/>
    </xf>
    <xf numFmtId="0" fontId="16" fillId="0" borderId="24" xfId="0" applyFont="1" applyBorder="1" applyAlignment="1">
      <alignment horizontal="center" vertical="center" textRotation="90"/>
    </xf>
    <xf numFmtId="0" fontId="16" fillId="0" borderId="44" xfId="0" applyFont="1" applyBorder="1" applyAlignment="1">
      <alignment horizontal="center" vertical="center" textRotation="90"/>
    </xf>
    <xf numFmtId="0" fontId="16" fillId="0" borderId="24" xfId="0" applyFont="1" applyBorder="1" applyAlignment="1">
      <alignment/>
    </xf>
    <xf numFmtId="0" fontId="16" fillId="0" borderId="44" xfId="0" applyFont="1" applyBorder="1" applyAlignment="1">
      <alignment/>
    </xf>
    <xf numFmtId="0" fontId="4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 vertical="center"/>
      <protection locked="0"/>
    </xf>
    <xf numFmtId="0" fontId="47" fillId="0" borderId="75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3" fillId="34" borderId="39" xfId="0" applyFont="1" applyFill="1" applyBorder="1" applyAlignment="1" applyProtection="1">
      <alignment horizontal="left"/>
      <protection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36" fillId="0" borderId="11" xfId="0" applyFont="1" applyBorder="1" applyAlignment="1" applyProtection="1">
      <alignment horizontal="center"/>
      <protection/>
    </xf>
    <xf numFmtId="0" fontId="36" fillId="0" borderId="76" xfId="0" applyFont="1" applyBorder="1" applyAlignment="1" applyProtection="1">
      <alignment horizontal="center"/>
      <protection/>
    </xf>
    <xf numFmtId="0" fontId="36" fillId="0" borderId="32" xfId="0" applyFont="1" applyBorder="1" applyAlignment="1" applyProtection="1">
      <alignment horizontal="center"/>
      <protection/>
    </xf>
    <xf numFmtId="0" fontId="43" fillId="34" borderId="39" xfId="0" applyFont="1" applyFill="1" applyBorder="1" applyAlignment="1" applyProtection="1">
      <alignment horizontal="center"/>
      <protection/>
    </xf>
    <xf numFmtId="0" fontId="43" fillId="0" borderId="39" xfId="0" applyFont="1" applyBorder="1" applyAlignment="1">
      <alignment horizontal="center"/>
    </xf>
    <xf numFmtId="0" fontId="36" fillId="0" borderId="39" xfId="0" applyFont="1" applyBorder="1" applyAlignment="1" applyProtection="1">
      <alignment horizontal="center" vertical="center" textRotation="90"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0" fontId="12" fillId="0" borderId="11" xfId="0" applyFont="1" applyBorder="1" applyAlignment="1" applyProtection="1">
      <alignment horizontal="center"/>
      <protection/>
    </xf>
    <xf numFmtId="0" fontId="12" fillId="0" borderId="76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36" fillId="34" borderId="36" xfId="0" applyFont="1" applyFill="1" applyBorder="1" applyAlignment="1" applyProtection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36" fillId="34" borderId="37" xfId="0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6" fillId="34" borderId="78" xfId="0" applyFont="1" applyFill="1" applyBorder="1" applyAlignment="1" applyProtection="1">
      <alignment horizontal="center" vertical="center"/>
      <protection/>
    </xf>
    <xf numFmtId="0" fontId="36" fillId="34" borderId="16" xfId="0" applyFont="1" applyFill="1" applyBorder="1" applyAlignment="1" applyProtection="1">
      <alignment horizontal="center" vertical="center"/>
      <protection/>
    </xf>
    <xf numFmtId="0" fontId="36" fillId="34" borderId="19" xfId="0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 applyProtection="1">
      <alignment horizontal="center" vertical="center"/>
      <protection/>
    </xf>
    <xf numFmtId="0" fontId="36" fillId="34" borderId="79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9" fillId="0" borderId="80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83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/>
    </xf>
    <xf numFmtId="0" fontId="38" fillId="0" borderId="85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17" fontId="38" fillId="0" borderId="80" xfId="0" applyNumberFormat="1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81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/>
    </xf>
    <xf numFmtId="0" fontId="40" fillId="0" borderId="42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textRotation="91"/>
    </xf>
    <xf numFmtId="0" fontId="29" fillId="0" borderId="40" xfId="0" applyFont="1" applyBorder="1" applyAlignment="1">
      <alignment/>
    </xf>
    <xf numFmtId="0" fontId="29" fillId="0" borderId="4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56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9" fillId="0" borderId="57" xfId="0" applyFont="1" applyBorder="1" applyAlignment="1">
      <alignment horizontal="center" vertical="top" wrapText="1"/>
    </xf>
    <xf numFmtId="0" fontId="49" fillId="0" borderId="5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9" fillId="0" borderId="56" xfId="0" applyFont="1" applyBorder="1" applyAlignment="1">
      <alignment horizontal="center" vertical="top"/>
    </xf>
    <xf numFmtId="0" fontId="49" fillId="0" borderId="55" xfId="0" applyFont="1" applyBorder="1" applyAlignment="1">
      <alignment horizontal="center" vertical="top"/>
    </xf>
    <xf numFmtId="0" fontId="49" fillId="0" borderId="58" xfId="0" applyFont="1" applyBorder="1" applyAlignment="1">
      <alignment horizontal="center" vertical="top"/>
    </xf>
    <xf numFmtId="0" fontId="68" fillId="0" borderId="39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0" fillId="0" borderId="39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/>
    </xf>
    <xf numFmtId="0" fontId="67" fillId="0" borderId="39" xfId="0" applyFont="1" applyBorder="1" applyAlignment="1">
      <alignment horizontal="center"/>
    </xf>
    <xf numFmtId="0" fontId="67" fillId="0" borderId="39" xfId="0" applyFont="1" applyFill="1" applyBorder="1" applyAlignment="1">
      <alignment horizontal="center"/>
    </xf>
    <xf numFmtId="0" fontId="60" fillId="0" borderId="39" xfId="0" applyFont="1" applyBorder="1" applyAlignment="1">
      <alignment horizontal="center" textRotation="90"/>
    </xf>
    <xf numFmtId="172" fontId="71" fillId="0" borderId="39" xfId="0" applyNumberFormat="1" applyFont="1" applyBorder="1" applyAlignment="1">
      <alignment horizontal="center"/>
    </xf>
    <xf numFmtId="172" fontId="71" fillId="0" borderId="39" xfId="0" applyNumberFormat="1" applyFont="1" applyFill="1" applyBorder="1" applyAlignment="1">
      <alignment horizontal="center"/>
    </xf>
    <xf numFmtId="172" fontId="77" fillId="0" borderId="39" xfId="0" applyNumberFormat="1" applyFont="1" applyFill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172" fontId="77" fillId="0" borderId="39" xfId="0" applyNumberFormat="1" applyFont="1" applyBorder="1" applyAlignment="1">
      <alignment horizontal="center"/>
    </xf>
    <xf numFmtId="172" fontId="49" fillId="0" borderId="39" xfId="0" applyNumberFormat="1" applyFont="1" applyBorder="1" applyAlignment="1">
      <alignment horizontal="center"/>
    </xf>
    <xf numFmtId="172" fontId="52" fillId="0" borderId="39" xfId="0" applyNumberFormat="1" applyFont="1" applyFill="1" applyBorder="1" applyAlignment="1">
      <alignment horizontal="center"/>
    </xf>
    <xf numFmtId="172" fontId="52" fillId="0" borderId="39" xfId="0" applyNumberFormat="1" applyFont="1" applyBorder="1" applyAlignment="1">
      <alignment horizontal="center"/>
    </xf>
    <xf numFmtId="0" fontId="60" fillId="0" borderId="39" xfId="0" applyFont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/>
    </xf>
    <xf numFmtId="0" fontId="60" fillId="0" borderId="85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85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104775</xdr:rowOff>
    </xdr:from>
    <xdr:to>
      <xdr:col>1</xdr:col>
      <xdr:colOff>647700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95275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</xdr:colOff>
      <xdr:row>14</xdr:row>
      <xdr:rowOff>161925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1\f\ws_1\My%20Document\RCF_STCOK\Weekly%20Report-2012\Documents%20and%20Settings\RCFRAJ\Local%20Settings\Temporary%20Internet%20Files\Content.IE5\FCT2DF0E\Off.T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Offtake (2)"/>
      <sheetName val="Daily offtake"/>
      <sheetName val="Divn. Wise"/>
      <sheetName val="Channel Wise"/>
    </sheetNames>
    <sheetDataSet>
      <sheetData sheetId="1">
        <row r="55">
          <cell r="S55">
            <v>0</v>
          </cell>
        </row>
        <row r="60">
          <cell r="S60">
            <v>0</v>
          </cell>
        </row>
        <row r="96">
          <cell r="S96">
            <v>0</v>
          </cell>
        </row>
        <row r="98">
          <cell r="S98">
            <v>0</v>
          </cell>
        </row>
        <row r="99">
          <cell r="S99">
            <v>0</v>
          </cell>
        </row>
        <row r="107">
          <cell r="S1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AB50"/>
  <sheetViews>
    <sheetView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G14" sqref="G14"/>
    </sheetView>
  </sheetViews>
  <sheetFormatPr defaultColWidth="9.140625" defaultRowHeight="12.75"/>
  <cols>
    <col min="1" max="1" width="3.7109375" style="433" customWidth="1"/>
    <col min="2" max="2" width="20.8515625" style="433" customWidth="1"/>
    <col min="3" max="3" width="11.00390625" style="433" customWidth="1"/>
    <col min="4" max="5" width="10.8515625" style="433" customWidth="1"/>
    <col min="6" max="6" width="9.7109375" style="433" customWidth="1"/>
    <col min="7" max="7" width="10.8515625" style="433" customWidth="1"/>
    <col min="8" max="8" width="10.00390625" style="433" customWidth="1"/>
    <col min="9" max="9" width="11.140625" style="433" customWidth="1"/>
    <col min="10" max="10" width="10.7109375" style="433" customWidth="1"/>
    <col min="11" max="11" width="11.421875" style="433" customWidth="1"/>
    <col min="12" max="12" width="10.00390625" style="433" customWidth="1"/>
    <col min="13" max="13" width="10.57421875" style="433" customWidth="1"/>
    <col min="14" max="14" width="10.00390625" style="433" customWidth="1"/>
    <col min="15" max="15" width="11.28125" style="433" customWidth="1"/>
    <col min="16" max="16" width="10.8515625" style="433" customWidth="1"/>
    <col min="17" max="17" width="11.00390625" style="433" customWidth="1"/>
    <col min="18" max="18" width="10.7109375" style="433" customWidth="1"/>
    <col min="19" max="19" width="11.140625" style="433" customWidth="1"/>
    <col min="20" max="20" width="9.7109375" style="433" customWidth="1"/>
    <col min="21" max="21" width="12.00390625" style="433" customWidth="1"/>
    <col min="22" max="22" width="9.57421875" style="433" customWidth="1"/>
    <col min="23" max="23" width="10.8515625" style="433" customWidth="1"/>
    <col min="24" max="24" width="9.8515625" style="433" customWidth="1"/>
    <col min="25" max="25" width="11.00390625" style="433" customWidth="1"/>
    <col min="26" max="26" width="10.57421875" style="433" customWidth="1"/>
    <col min="27" max="27" width="13.00390625" style="433" customWidth="1"/>
    <col min="28" max="28" width="11.8515625" style="433" customWidth="1"/>
    <col min="29" max="16384" width="9.140625" style="433" customWidth="1"/>
  </cols>
  <sheetData>
    <row r="1" spans="1:28" ht="21.75" customHeight="1">
      <c r="A1" s="432"/>
      <c r="B1" s="432"/>
      <c r="C1" s="432"/>
      <c r="D1" s="432"/>
      <c r="E1" s="540" t="s">
        <v>290</v>
      </c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431"/>
      <c r="AA1" s="431"/>
      <c r="AB1" s="432"/>
    </row>
    <row r="2" spans="1:28" ht="24" customHeight="1">
      <c r="A2" s="434"/>
      <c r="B2" s="436"/>
      <c r="C2" s="435"/>
      <c r="D2" s="435"/>
      <c r="E2" s="540" t="s">
        <v>304</v>
      </c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431"/>
      <c r="AA2" s="431"/>
      <c r="AB2" s="434"/>
    </row>
    <row r="3" spans="1:28" ht="6" customHeight="1" thickBot="1">
      <c r="A3" s="434"/>
      <c r="B3" s="436"/>
      <c r="C3" s="435"/>
      <c r="D3" s="435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31"/>
      <c r="AA3" s="431"/>
      <c r="AB3" s="434"/>
    </row>
    <row r="4" spans="1:28" ht="17.25" customHeight="1">
      <c r="A4" s="556" t="s">
        <v>236</v>
      </c>
      <c r="B4" s="557"/>
      <c r="C4" s="541" t="s">
        <v>292</v>
      </c>
      <c r="D4" s="542"/>
      <c r="E4" s="541" t="s">
        <v>293</v>
      </c>
      <c r="F4" s="542"/>
      <c r="G4" s="543" t="s">
        <v>294</v>
      </c>
      <c r="H4" s="544"/>
      <c r="I4" s="543" t="s">
        <v>295</v>
      </c>
      <c r="J4" s="544"/>
      <c r="K4" s="543" t="s">
        <v>296</v>
      </c>
      <c r="L4" s="544"/>
      <c r="M4" s="543" t="s">
        <v>297</v>
      </c>
      <c r="N4" s="544"/>
      <c r="O4" s="543" t="s">
        <v>298</v>
      </c>
      <c r="P4" s="544"/>
      <c r="Q4" s="543" t="s">
        <v>299</v>
      </c>
      <c r="R4" s="544"/>
      <c r="S4" s="545" t="s">
        <v>300</v>
      </c>
      <c r="T4" s="545"/>
      <c r="U4" s="545" t="s">
        <v>301</v>
      </c>
      <c r="V4" s="545"/>
      <c r="W4" s="545" t="s">
        <v>302</v>
      </c>
      <c r="X4" s="545"/>
      <c r="Y4" s="545" t="s">
        <v>303</v>
      </c>
      <c r="Z4" s="545"/>
      <c r="AA4" s="545" t="s">
        <v>9</v>
      </c>
      <c r="AB4" s="550"/>
    </row>
    <row r="5" spans="1:28" ht="16.5" customHeight="1">
      <c r="A5" s="558"/>
      <c r="B5" s="559"/>
      <c r="C5" s="437" t="s">
        <v>214</v>
      </c>
      <c r="D5" s="437" t="s">
        <v>26</v>
      </c>
      <c r="E5" s="437" t="s">
        <v>214</v>
      </c>
      <c r="F5" s="437" t="s">
        <v>26</v>
      </c>
      <c r="G5" s="437" t="s">
        <v>214</v>
      </c>
      <c r="H5" s="437" t="s">
        <v>26</v>
      </c>
      <c r="I5" s="437" t="s">
        <v>214</v>
      </c>
      <c r="J5" s="437" t="s">
        <v>26</v>
      </c>
      <c r="K5" s="437" t="s">
        <v>214</v>
      </c>
      <c r="L5" s="437" t="s">
        <v>26</v>
      </c>
      <c r="M5" s="437" t="s">
        <v>214</v>
      </c>
      <c r="N5" s="437" t="s">
        <v>26</v>
      </c>
      <c r="O5" s="437" t="s">
        <v>214</v>
      </c>
      <c r="P5" s="437" t="s">
        <v>26</v>
      </c>
      <c r="Q5" s="437" t="s">
        <v>214</v>
      </c>
      <c r="R5" s="437" t="s">
        <v>26</v>
      </c>
      <c r="S5" s="437" t="s">
        <v>214</v>
      </c>
      <c r="T5" s="437" t="s">
        <v>26</v>
      </c>
      <c r="U5" s="437" t="s">
        <v>214</v>
      </c>
      <c r="V5" s="437" t="s">
        <v>26</v>
      </c>
      <c r="W5" s="437" t="s">
        <v>214</v>
      </c>
      <c r="X5" s="437" t="s">
        <v>26</v>
      </c>
      <c r="Y5" s="437" t="s">
        <v>214</v>
      </c>
      <c r="Z5" s="437" t="s">
        <v>26</v>
      </c>
      <c r="AA5" s="437" t="s">
        <v>214</v>
      </c>
      <c r="AB5" s="438" t="s">
        <v>26</v>
      </c>
    </row>
    <row r="6" spans="1:28" s="442" customFormat="1" ht="12.75" customHeight="1" thickBot="1">
      <c r="A6" s="533">
        <v>1</v>
      </c>
      <c r="B6" s="534"/>
      <c r="C6" s="439">
        <v>2</v>
      </c>
      <c r="D6" s="439">
        <v>3</v>
      </c>
      <c r="E6" s="440">
        <v>4</v>
      </c>
      <c r="F6" s="440">
        <v>5</v>
      </c>
      <c r="G6" s="440">
        <v>6</v>
      </c>
      <c r="H6" s="440">
        <v>7</v>
      </c>
      <c r="I6" s="440">
        <v>8</v>
      </c>
      <c r="J6" s="440">
        <v>9</v>
      </c>
      <c r="K6" s="439">
        <v>10</v>
      </c>
      <c r="L6" s="439">
        <v>11</v>
      </c>
      <c r="M6" s="439">
        <v>12</v>
      </c>
      <c r="N6" s="439">
        <v>13</v>
      </c>
      <c r="O6" s="439">
        <v>14</v>
      </c>
      <c r="P6" s="439">
        <v>15</v>
      </c>
      <c r="Q6" s="439">
        <v>16</v>
      </c>
      <c r="R6" s="439">
        <v>17</v>
      </c>
      <c r="S6" s="439">
        <v>18</v>
      </c>
      <c r="T6" s="439">
        <v>19</v>
      </c>
      <c r="U6" s="439">
        <v>20</v>
      </c>
      <c r="V6" s="439">
        <v>21</v>
      </c>
      <c r="W6" s="439">
        <v>22</v>
      </c>
      <c r="X6" s="439">
        <v>23</v>
      </c>
      <c r="Y6" s="439">
        <v>24</v>
      </c>
      <c r="Z6" s="439">
        <v>25</v>
      </c>
      <c r="AA6" s="439">
        <v>26</v>
      </c>
      <c r="AB6" s="441">
        <v>27</v>
      </c>
    </row>
    <row r="7" spans="1:28" s="460" customFormat="1" ht="25.5" customHeight="1" thickTop="1">
      <c r="A7" s="551" t="s">
        <v>234</v>
      </c>
      <c r="B7" s="455" t="s">
        <v>12</v>
      </c>
      <c r="C7" s="472">
        <v>0</v>
      </c>
      <c r="D7" s="472">
        <v>0</v>
      </c>
      <c r="E7" s="476">
        <v>0</v>
      </c>
      <c r="F7" s="476">
        <v>0</v>
      </c>
      <c r="G7" s="476">
        <v>0</v>
      </c>
      <c r="H7" s="476">
        <v>0</v>
      </c>
      <c r="I7" s="476">
        <v>0</v>
      </c>
      <c r="J7" s="476">
        <v>0</v>
      </c>
      <c r="K7" s="472">
        <v>0</v>
      </c>
      <c r="L7" s="472">
        <v>0</v>
      </c>
      <c r="M7" s="472">
        <v>0</v>
      </c>
      <c r="N7" s="472">
        <v>0</v>
      </c>
      <c r="O7" s="472">
        <v>0</v>
      </c>
      <c r="P7" s="472">
        <v>0</v>
      </c>
      <c r="Q7" s="472">
        <v>0</v>
      </c>
      <c r="R7" s="472">
        <v>0</v>
      </c>
      <c r="S7" s="472">
        <v>0</v>
      </c>
      <c r="T7" s="472">
        <v>0</v>
      </c>
      <c r="U7" s="472">
        <v>0</v>
      </c>
      <c r="V7" s="472">
        <v>0</v>
      </c>
      <c r="W7" s="472">
        <v>0</v>
      </c>
      <c r="X7" s="472">
        <v>0</v>
      </c>
      <c r="Y7" s="472">
        <v>0</v>
      </c>
      <c r="Z7" s="472">
        <v>0</v>
      </c>
      <c r="AA7" s="472">
        <f aca="true" t="shared" si="0" ref="AA7:AA18">SUM(C7+E7+G7+I7+K7+M7+O7+Q7+S7+U7+W7+Y7)</f>
        <v>0</v>
      </c>
      <c r="AB7" s="464">
        <f aca="true" t="shared" si="1" ref="AB7:AB18">SUM(D7+F7+H7+J7+L7+N7+P7+R7+T7+V7+X7+Z7)</f>
        <v>0</v>
      </c>
    </row>
    <row r="8" spans="1:28" s="460" customFormat="1" ht="25.5" customHeight="1">
      <c r="A8" s="552"/>
      <c r="B8" s="456" t="s">
        <v>267</v>
      </c>
      <c r="C8" s="463">
        <v>902.486</v>
      </c>
      <c r="D8" s="463">
        <v>655.243</v>
      </c>
      <c r="E8" s="465">
        <v>1058.943</v>
      </c>
      <c r="F8" s="465">
        <v>764.479</v>
      </c>
      <c r="G8" s="465">
        <v>1000.924</v>
      </c>
      <c r="H8" s="465">
        <v>751.92</v>
      </c>
      <c r="I8" s="465">
        <v>993.455</v>
      </c>
      <c r="J8" s="465">
        <v>724.538</v>
      </c>
      <c r="K8" s="463">
        <v>1033.272</v>
      </c>
      <c r="L8" s="463">
        <v>754.798</v>
      </c>
      <c r="M8" s="463">
        <v>1017.711</v>
      </c>
      <c r="N8" s="463">
        <v>754.483</v>
      </c>
      <c r="O8" s="463">
        <v>1039.269</v>
      </c>
      <c r="P8" s="463">
        <v>771.51</v>
      </c>
      <c r="Q8" s="463">
        <v>1003.938</v>
      </c>
      <c r="R8" s="463">
        <v>724.796</v>
      </c>
      <c r="S8" s="463">
        <v>1032.334</v>
      </c>
      <c r="T8" s="463">
        <v>746.373</v>
      </c>
      <c r="U8" s="463">
        <v>1224.047</v>
      </c>
      <c r="V8" s="463">
        <v>787.935</v>
      </c>
      <c r="W8" s="463">
        <v>960.44</v>
      </c>
      <c r="X8" s="463">
        <v>727.96</v>
      </c>
      <c r="Y8" s="463">
        <v>1072.015</v>
      </c>
      <c r="Z8" s="463">
        <v>779.197</v>
      </c>
      <c r="AA8" s="472">
        <f t="shared" si="0"/>
        <v>12338.834</v>
      </c>
      <c r="AB8" s="464">
        <f t="shared" si="1"/>
        <v>8943.232</v>
      </c>
    </row>
    <row r="9" spans="1:28" s="460" customFormat="1" ht="25.5" customHeight="1">
      <c r="A9" s="552"/>
      <c r="B9" s="456" t="s">
        <v>268</v>
      </c>
      <c r="C9" s="463">
        <v>97.136</v>
      </c>
      <c r="D9" s="463">
        <v>8.011</v>
      </c>
      <c r="E9" s="465">
        <v>158.163</v>
      </c>
      <c r="F9" s="465">
        <v>22.2</v>
      </c>
      <c r="G9" s="465">
        <v>185.8</v>
      </c>
      <c r="H9" s="465">
        <v>28.7</v>
      </c>
      <c r="I9" s="465">
        <v>213.8</v>
      </c>
      <c r="J9" s="465">
        <v>31.69</v>
      </c>
      <c r="K9" s="463">
        <v>212.708</v>
      </c>
      <c r="L9" s="463">
        <v>31.005</v>
      </c>
      <c r="M9" s="463">
        <v>226.8</v>
      </c>
      <c r="N9" s="463">
        <v>29.551</v>
      </c>
      <c r="O9" s="463">
        <v>226.3</v>
      </c>
      <c r="P9" s="463">
        <v>32.2</v>
      </c>
      <c r="Q9" s="463">
        <v>216.6</v>
      </c>
      <c r="R9" s="463">
        <v>31.05</v>
      </c>
      <c r="S9" s="463">
        <v>214.6</v>
      </c>
      <c r="T9" s="463">
        <v>33.55</v>
      </c>
      <c r="U9" s="463">
        <v>230.565</v>
      </c>
      <c r="V9" s="463">
        <v>28.382</v>
      </c>
      <c r="W9" s="463">
        <v>234.811</v>
      </c>
      <c r="X9" s="463">
        <v>37.082</v>
      </c>
      <c r="Y9" s="463">
        <v>204.7</v>
      </c>
      <c r="Z9" s="463">
        <v>26.55</v>
      </c>
      <c r="AA9" s="472">
        <f t="shared" si="0"/>
        <v>2421.9829999999997</v>
      </c>
      <c r="AB9" s="464">
        <f t="shared" si="1"/>
        <v>339.971</v>
      </c>
    </row>
    <row r="10" spans="1:28" s="460" customFormat="1" ht="25.5" customHeight="1">
      <c r="A10" s="552"/>
      <c r="B10" s="456" t="s">
        <v>13</v>
      </c>
      <c r="C10" s="463">
        <v>0</v>
      </c>
      <c r="D10" s="463">
        <v>0</v>
      </c>
      <c r="E10" s="465">
        <v>0</v>
      </c>
      <c r="F10" s="465">
        <v>0</v>
      </c>
      <c r="G10" s="465">
        <v>0</v>
      </c>
      <c r="H10" s="465">
        <v>0</v>
      </c>
      <c r="I10" s="465">
        <v>0</v>
      </c>
      <c r="J10" s="465">
        <v>0</v>
      </c>
      <c r="K10" s="463">
        <v>0</v>
      </c>
      <c r="L10" s="463">
        <v>0</v>
      </c>
      <c r="M10" s="463">
        <v>0</v>
      </c>
      <c r="N10" s="463">
        <v>0</v>
      </c>
      <c r="O10" s="463">
        <v>0</v>
      </c>
      <c r="P10" s="463">
        <v>0</v>
      </c>
      <c r="Q10" s="463">
        <v>0</v>
      </c>
      <c r="R10" s="463">
        <v>0</v>
      </c>
      <c r="S10" s="463">
        <v>0</v>
      </c>
      <c r="T10" s="463">
        <v>0</v>
      </c>
      <c r="U10" s="463">
        <v>0</v>
      </c>
      <c r="V10" s="463">
        <v>0</v>
      </c>
      <c r="W10" s="463">
        <v>0</v>
      </c>
      <c r="X10" s="463">
        <v>0</v>
      </c>
      <c r="Y10" s="463">
        <v>0</v>
      </c>
      <c r="Z10" s="463">
        <v>0</v>
      </c>
      <c r="AA10" s="472">
        <f t="shared" si="0"/>
        <v>0</v>
      </c>
      <c r="AB10" s="464">
        <f t="shared" si="1"/>
        <v>0</v>
      </c>
    </row>
    <row r="11" spans="1:28" s="460" customFormat="1" ht="25.5" customHeight="1">
      <c r="A11" s="552"/>
      <c r="B11" s="456" t="s">
        <v>192</v>
      </c>
      <c r="C11" s="463">
        <v>0</v>
      </c>
      <c r="D11" s="463">
        <v>1825</v>
      </c>
      <c r="E11" s="465">
        <v>0</v>
      </c>
      <c r="F11" s="465">
        <v>1581.277</v>
      </c>
      <c r="G11" s="465">
        <v>0</v>
      </c>
      <c r="H11" s="465">
        <v>1825</v>
      </c>
      <c r="I11" s="465">
        <v>0</v>
      </c>
      <c r="J11" s="465">
        <v>1715.2</v>
      </c>
      <c r="K11" s="463">
        <v>71</v>
      </c>
      <c r="L11" s="463">
        <v>1778</v>
      </c>
      <c r="M11" s="463">
        <v>5</v>
      </c>
      <c r="N11" s="463">
        <v>1554</v>
      </c>
      <c r="O11" s="463">
        <v>0.5</v>
      </c>
      <c r="P11" s="463">
        <v>1732</v>
      </c>
      <c r="Q11" s="463">
        <v>3</v>
      </c>
      <c r="R11" s="463">
        <v>1538</v>
      </c>
      <c r="S11" s="463">
        <v>56</v>
      </c>
      <c r="T11" s="463">
        <v>1611</v>
      </c>
      <c r="U11" s="463">
        <v>1310.375</v>
      </c>
      <c r="V11" s="463">
        <v>657</v>
      </c>
      <c r="W11" s="463">
        <v>3580.38</v>
      </c>
      <c r="X11" s="463">
        <v>602</v>
      </c>
      <c r="Y11" s="463">
        <v>5236.435</v>
      </c>
      <c r="Z11" s="463">
        <v>1607.894</v>
      </c>
      <c r="AA11" s="472">
        <f t="shared" si="0"/>
        <v>10262.69</v>
      </c>
      <c r="AB11" s="464">
        <f t="shared" si="1"/>
        <v>18026.371</v>
      </c>
    </row>
    <row r="12" spans="1:28" s="460" customFormat="1" ht="25.5" customHeight="1">
      <c r="A12" s="552"/>
      <c r="B12" s="456" t="s">
        <v>196</v>
      </c>
      <c r="C12" s="463">
        <v>0</v>
      </c>
      <c r="D12" s="463">
        <v>0</v>
      </c>
      <c r="E12" s="465">
        <v>0</v>
      </c>
      <c r="F12" s="465">
        <v>0</v>
      </c>
      <c r="G12" s="465">
        <v>0</v>
      </c>
      <c r="H12" s="465">
        <v>0</v>
      </c>
      <c r="I12" s="465">
        <v>0</v>
      </c>
      <c r="J12" s="465">
        <v>0</v>
      </c>
      <c r="K12" s="463">
        <v>0</v>
      </c>
      <c r="L12" s="463">
        <v>0</v>
      </c>
      <c r="M12" s="463">
        <v>0</v>
      </c>
      <c r="N12" s="463">
        <v>0</v>
      </c>
      <c r="O12" s="463">
        <v>0</v>
      </c>
      <c r="P12" s="463">
        <v>0</v>
      </c>
      <c r="Q12" s="463">
        <v>0</v>
      </c>
      <c r="R12" s="463">
        <v>0</v>
      </c>
      <c r="S12" s="463">
        <v>0</v>
      </c>
      <c r="T12" s="463">
        <v>0</v>
      </c>
      <c r="U12" s="463">
        <v>0</v>
      </c>
      <c r="V12" s="463">
        <v>0</v>
      </c>
      <c r="W12" s="463">
        <v>0</v>
      </c>
      <c r="X12" s="463">
        <v>0</v>
      </c>
      <c r="Y12" s="463">
        <v>0</v>
      </c>
      <c r="Z12" s="463">
        <v>0</v>
      </c>
      <c r="AA12" s="472">
        <f t="shared" si="0"/>
        <v>0</v>
      </c>
      <c r="AB12" s="464">
        <f t="shared" si="1"/>
        <v>0</v>
      </c>
    </row>
    <row r="13" spans="1:28" s="460" customFormat="1" ht="25.5" customHeight="1">
      <c r="A13" s="552"/>
      <c r="B13" s="456" t="s">
        <v>14</v>
      </c>
      <c r="C13" s="463">
        <v>0</v>
      </c>
      <c r="D13" s="463">
        <v>0</v>
      </c>
      <c r="E13" s="465">
        <v>0</v>
      </c>
      <c r="F13" s="465">
        <v>0</v>
      </c>
      <c r="G13" s="465">
        <v>0</v>
      </c>
      <c r="H13" s="465">
        <v>0</v>
      </c>
      <c r="I13" s="465">
        <v>0</v>
      </c>
      <c r="J13" s="465">
        <v>0</v>
      </c>
      <c r="K13" s="463">
        <v>0</v>
      </c>
      <c r="L13" s="463">
        <v>0</v>
      </c>
      <c r="M13" s="463">
        <v>0</v>
      </c>
      <c r="N13" s="463">
        <v>0</v>
      </c>
      <c r="O13" s="463">
        <v>0</v>
      </c>
      <c r="P13" s="463">
        <v>0</v>
      </c>
      <c r="Q13" s="463">
        <v>0</v>
      </c>
      <c r="R13" s="463">
        <v>0</v>
      </c>
      <c r="S13" s="463">
        <v>0</v>
      </c>
      <c r="T13" s="463">
        <v>0</v>
      </c>
      <c r="U13" s="463">
        <v>0</v>
      </c>
      <c r="V13" s="463">
        <v>0</v>
      </c>
      <c r="W13" s="463">
        <v>0</v>
      </c>
      <c r="X13" s="463">
        <v>0</v>
      </c>
      <c r="Y13" s="463">
        <v>0</v>
      </c>
      <c r="Z13" s="463">
        <v>0</v>
      </c>
      <c r="AA13" s="472">
        <f t="shared" si="0"/>
        <v>0</v>
      </c>
      <c r="AB13" s="464">
        <f t="shared" si="1"/>
        <v>0</v>
      </c>
    </row>
    <row r="14" spans="1:28" s="460" customFormat="1" ht="25.5" customHeight="1">
      <c r="A14" s="552"/>
      <c r="B14" s="456" t="s">
        <v>245</v>
      </c>
      <c r="C14" s="463">
        <v>0</v>
      </c>
      <c r="D14" s="463">
        <v>0</v>
      </c>
      <c r="E14" s="465">
        <v>0</v>
      </c>
      <c r="F14" s="465">
        <v>0</v>
      </c>
      <c r="G14" s="465">
        <v>0</v>
      </c>
      <c r="H14" s="465">
        <v>0</v>
      </c>
      <c r="I14" s="465">
        <v>0</v>
      </c>
      <c r="J14" s="465">
        <v>0</v>
      </c>
      <c r="K14" s="463">
        <v>0</v>
      </c>
      <c r="L14" s="463">
        <v>0</v>
      </c>
      <c r="M14" s="463">
        <v>0</v>
      </c>
      <c r="N14" s="463">
        <v>0</v>
      </c>
      <c r="O14" s="463">
        <v>0</v>
      </c>
      <c r="P14" s="463">
        <v>0</v>
      </c>
      <c r="Q14" s="463">
        <v>0</v>
      </c>
      <c r="R14" s="463">
        <v>0</v>
      </c>
      <c r="S14" s="463">
        <v>0</v>
      </c>
      <c r="T14" s="463">
        <v>0</v>
      </c>
      <c r="U14" s="463">
        <v>0</v>
      </c>
      <c r="V14" s="463">
        <v>0</v>
      </c>
      <c r="W14" s="463">
        <v>0</v>
      </c>
      <c r="X14" s="463">
        <v>0</v>
      </c>
      <c r="Y14" s="463">
        <v>0</v>
      </c>
      <c r="Z14" s="463">
        <v>0</v>
      </c>
      <c r="AA14" s="472">
        <f t="shared" si="0"/>
        <v>0</v>
      </c>
      <c r="AB14" s="464">
        <f t="shared" si="1"/>
        <v>0</v>
      </c>
    </row>
    <row r="15" spans="1:28" s="460" customFormat="1" ht="25.5" customHeight="1">
      <c r="A15" s="552"/>
      <c r="B15" s="456" t="s">
        <v>282</v>
      </c>
      <c r="C15" s="463">
        <v>0</v>
      </c>
      <c r="D15" s="463">
        <v>0</v>
      </c>
      <c r="E15" s="465">
        <v>0</v>
      </c>
      <c r="F15" s="465">
        <v>0</v>
      </c>
      <c r="G15" s="465">
        <v>23187.63</v>
      </c>
      <c r="H15" s="465">
        <v>0</v>
      </c>
      <c r="I15" s="465">
        <v>23166.85</v>
      </c>
      <c r="J15" s="465">
        <v>0</v>
      </c>
      <c r="K15" s="463">
        <v>23211.94</v>
      </c>
      <c r="L15" s="463">
        <v>0</v>
      </c>
      <c r="M15" s="463">
        <v>0.18</v>
      </c>
      <c r="N15" s="463">
        <v>0</v>
      </c>
      <c r="O15" s="463">
        <v>0</v>
      </c>
      <c r="P15" s="463">
        <v>0</v>
      </c>
      <c r="Q15" s="463">
        <v>0</v>
      </c>
      <c r="R15" s="463">
        <v>0</v>
      </c>
      <c r="S15" s="463">
        <v>23190.367</v>
      </c>
      <c r="T15" s="463">
        <v>0</v>
      </c>
      <c r="U15" s="463">
        <v>23141.024</v>
      </c>
      <c r="V15" s="463">
        <v>0</v>
      </c>
      <c r="W15" s="463">
        <v>23074.91</v>
      </c>
      <c r="X15" s="463">
        <v>0</v>
      </c>
      <c r="Y15" s="463">
        <v>0</v>
      </c>
      <c r="Z15" s="463">
        <v>0</v>
      </c>
      <c r="AA15" s="472">
        <f t="shared" si="0"/>
        <v>138972.90099999998</v>
      </c>
      <c r="AB15" s="464">
        <f t="shared" si="1"/>
        <v>0</v>
      </c>
    </row>
    <row r="16" spans="1:28" s="460" customFormat="1" ht="25.5" customHeight="1">
      <c r="A16" s="552"/>
      <c r="B16" s="456" t="s">
        <v>289</v>
      </c>
      <c r="C16" s="463">
        <v>0</v>
      </c>
      <c r="D16" s="463">
        <v>0</v>
      </c>
      <c r="E16" s="465">
        <v>0</v>
      </c>
      <c r="F16" s="465">
        <v>0</v>
      </c>
      <c r="G16" s="465">
        <v>0</v>
      </c>
      <c r="H16" s="465">
        <v>0</v>
      </c>
      <c r="I16" s="465">
        <v>0</v>
      </c>
      <c r="J16" s="465">
        <v>0</v>
      </c>
      <c r="K16" s="463">
        <v>0</v>
      </c>
      <c r="L16" s="463">
        <v>0</v>
      </c>
      <c r="M16" s="463">
        <v>0</v>
      </c>
      <c r="N16" s="463">
        <v>0</v>
      </c>
      <c r="O16" s="463">
        <v>0</v>
      </c>
      <c r="P16" s="463">
        <v>0</v>
      </c>
      <c r="Q16" s="463">
        <v>0</v>
      </c>
      <c r="R16" s="463">
        <v>0</v>
      </c>
      <c r="S16" s="463">
        <v>0</v>
      </c>
      <c r="T16" s="463">
        <v>0</v>
      </c>
      <c r="U16" s="463">
        <v>0</v>
      </c>
      <c r="V16" s="463">
        <v>0</v>
      </c>
      <c r="W16" s="463">
        <v>0</v>
      </c>
      <c r="X16" s="463">
        <v>0</v>
      </c>
      <c r="Y16" s="463">
        <v>0</v>
      </c>
      <c r="Z16" s="463">
        <v>0</v>
      </c>
      <c r="AA16" s="472">
        <f t="shared" si="0"/>
        <v>0</v>
      </c>
      <c r="AB16" s="464">
        <f t="shared" si="1"/>
        <v>0</v>
      </c>
    </row>
    <row r="17" spans="1:28" s="460" customFormat="1" ht="25.5" customHeight="1">
      <c r="A17" s="552"/>
      <c r="B17" s="456" t="s">
        <v>197</v>
      </c>
      <c r="C17" s="463">
        <v>3.9</v>
      </c>
      <c r="D17" s="463">
        <v>3.4</v>
      </c>
      <c r="E17" s="465">
        <v>4.4</v>
      </c>
      <c r="F17" s="465">
        <v>4</v>
      </c>
      <c r="G17" s="465">
        <v>4.4</v>
      </c>
      <c r="H17" s="465">
        <v>4</v>
      </c>
      <c r="I17" s="465">
        <v>4</v>
      </c>
      <c r="J17" s="465">
        <v>3.6</v>
      </c>
      <c r="K17" s="463">
        <v>4</v>
      </c>
      <c r="L17" s="463">
        <v>3.6</v>
      </c>
      <c r="M17" s="463">
        <v>9.3</v>
      </c>
      <c r="N17" s="463">
        <v>3.9</v>
      </c>
      <c r="O17" s="463">
        <v>4.4</v>
      </c>
      <c r="P17" s="463">
        <v>1.9</v>
      </c>
      <c r="Q17" s="463">
        <v>4.8</v>
      </c>
      <c r="R17" s="463">
        <v>1.9</v>
      </c>
      <c r="S17" s="463">
        <v>5.75</v>
      </c>
      <c r="T17" s="463">
        <v>1.4</v>
      </c>
      <c r="U17" s="463">
        <v>6.6</v>
      </c>
      <c r="V17" s="463">
        <v>6.2</v>
      </c>
      <c r="W17" s="463">
        <v>4.1</v>
      </c>
      <c r="X17" s="463">
        <v>3.7</v>
      </c>
      <c r="Y17" s="463">
        <v>9.1</v>
      </c>
      <c r="Z17" s="463">
        <v>8.2</v>
      </c>
      <c r="AA17" s="472">
        <f t="shared" si="0"/>
        <v>64.75</v>
      </c>
      <c r="AB17" s="464">
        <f t="shared" si="1"/>
        <v>45.8</v>
      </c>
    </row>
    <row r="18" spans="1:28" s="460" customFormat="1" ht="23.25" customHeight="1">
      <c r="A18" s="552"/>
      <c r="B18" s="456" t="s">
        <v>15</v>
      </c>
      <c r="C18" s="463">
        <v>0</v>
      </c>
      <c r="D18" s="463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465">
        <v>0</v>
      </c>
      <c r="K18" s="463">
        <v>0</v>
      </c>
      <c r="L18" s="463">
        <v>0</v>
      </c>
      <c r="M18" s="463">
        <v>0</v>
      </c>
      <c r="N18" s="463">
        <v>0</v>
      </c>
      <c r="O18" s="463">
        <v>0</v>
      </c>
      <c r="P18" s="463">
        <v>0</v>
      </c>
      <c r="Q18" s="463">
        <v>0</v>
      </c>
      <c r="R18" s="463">
        <v>0</v>
      </c>
      <c r="S18" s="463">
        <v>0</v>
      </c>
      <c r="T18" s="463">
        <v>0</v>
      </c>
      <c r="U18" s="463">
        <v>0</v>
      </c>
      <c r="V18" s="463">
        <v>0</v>
      </c>
      <c r="W18" s="463">
        <v>0</v>
      </c>
      <c r="X18" s="463">
        <v>0</v>
      </c>
      <c r="Y18" s="463">
        <v>0</v>
      </c>
      <c r="Z18" s="463">
        <v>0</v>
      </c>
      <c r="AA18" s="472">
        <f t="shared" si="0"/>
        <v>0</v>
      </c>
      <c r="AB18" s="464">
        <f t="shared" si="1"/>
        <v>0</v>
      </c>
    </row>
    <row r="19" spans="1:28" s="469" customFormat="1" ht="25.5" customHeight="1">
      <c r="A19" s="553"/>
      <c r="B19" s="457" t="s">
        <v>237</v>
      </c>
      <c r="C19" s="467">
        <f aca="true" t="shared" si="2" ref="C19:AB19">SUM(C7:C18)</f>
        <v>1003.5219999999999</v>
      </c>
      <c r="D19" s="467">
        <f t="shared" si="2"/>
        <v>2491.654</v>
      </c>
      <c r="E19" s="467">
        <f t="shared" si="2"/>
        <v>1221.506</v>
      </c>
      <c r="F19" s="467">
        <f t="shared" si="2"/>
        <v>2371.956</v>
      </c>
      <c r="G19" s="467">
        <f t="shared" si="2"/>
        <v>24378.754</v>
      </c>
      <c r="H19" s="485">
        <f t="shared" si="2"/>
        <v>2609.62</v>
      </c>
      <c r="I19" s="467">
        <f t="shared" si="2"/>
        <v>24378.105</v>
      </c>
      <c r="J19" s="467">
        <f t="shared" si="2"/>
        <v>2475.028</v>
      </c>
      <c r="K19" s="467">
        <f>SUM(K7:K18)</f>
        <v>24532.92</v>
      </c>
      <c r="L19" s="467">
        <f>SUM(L7:L18)</f>
        <v>2567.403</v>
      </c>
      <c r="M19" s="467">
        <f>SUM(M7:M18)</f>
        <v>1258.991</v>
      </c>
      <c r="N19" s="467">
        <f>SUM(N7:N18)</f>
        <v>2341.934</v>
      </c>
      <c r="O19" s="467">
        <f t="shared" si="2"/>
        <v>1270.469</v>
      </c>
      <c r="P19" s="467">
        <f t="shared" si="2"/>
        <v>2537.61</v>
      </c>
      <c r="Q19" s="467">
        <f aca="true" t="shared" si="3" ref="Q19:X19">SUM(Q7:Q18)</f>
        <v>1228.338</v>
      </c>
      <c r="R19" s="467">
        <f t="shared" si="3"/>
        <v>2295.746</v>
      </c>
      <c r="S19" s="467">
        <f t="shared" si="3"/>
        <v>24499.051</v>
      </c>
      <c r="T19" s="467">
        <f t="shared" si="3"/>
        <v>2392.323</v>
      </c>
      <c r="U19" s="467">
        <f t="shared" si="3"/>
        <v>25912.611</v>
      </c>
      <c r="V19" s="467">
        <f t="shared" si="3"/>
        <v>1479.517</v>
      </c>
      <c r="W19" s="467">
        <f t="shared" si="3"/>
        <v>27854.641</v>
      </c>
      <c r="X19" s="467">
        <f t="shared" si="3"/>
        <v>1370.742</v>
      </c>
      <c r="Y19" s="467">
        <f>SUM(Y7:Y18)</f>
        <v>6522.250000000001</v>
      </c>
      <c r="Z19" s="467">
        <f t="shared" si="2"/>
        <v>2421.841</v>
      </c>
      <c r="AA19" s="467">
        <f t="shared" si="2"/>
        <v>164061.158</v>
      </c>
      <c r="AB19" s="468">
        <f t="shared" si="2"/>
        <v>27355.374</v>
      </c>
    </row>
    <row r="20" spans="1:28" s="460" customFormat="1" ht="25.5" customHeight="1">
      <c r="A20" s="459"/>
      <c r="B20" s="456" t="s">
        <v>238</v>
      </c>
      <c r="C20" s="463">
        <v>525</v>
      </c>
      <c r="D20" s="463">
        <v>300</v>
      </c>
      <c r="E20" s="465">
        <v>414.668</v>
      </c>
      <c r="F20" s="465">
        <v>156.723</v>
      </c>
      <c r="G20" s="465">
        <v>525</v>
      </c>
      <c r="H20" s="465">
        <v>300</v>
      </c>
      <c r="I20" s="465">
        <v>525</v>
      </c>
      <c r="J20" s="465">
        <v>301</v>
      </c>
      <c r="K20" s="463">
        <v>435</v>
      </c>
      <c r="L20" s="463">
        <v>249</v>
      </c>
      <c r="M20" s="463">
        <v>525</v>
      </c>
      <c r="N20" s="463">
        <v>301</v>
      </c>
      <c r="O20" s="463">
        <v>551.75</v>
      </c>
      <c r="P20" s="463">
        <v>249</v>
      </c>
      <c r="Q20" s="463">
        <v>525</v>
      </c>
      <c r="R20" s="463">
        <v>256</v>
      </c>
      <c r="S20" s="463">
        <v>525</v>
      </c>
      <c r="T20" s="463">
        <v>300</v>
      </c>
      <c r="U20" s="463">
        <v>435</v>
      </c>
      <c r="V20" s="463">
        <v>256</v>
      </c>
      <c r="W20" s="463">
        <v>525</v>
      </c>
      <c r="X20" s="463">
        <v>300</v>
      </c>
      <c r="Y20" s="463">
        <v>525</v>
      </c>
      <c r="Z20" s="463">
        <v>256</v>
      </c>
      <c r="AA20" s="463">
        <f aca="true" t="shared" si="4" ref="AA20:AA29">SUM(C20+E20+G20+I20+K20+M20+O20+Q20+S20+U20+W20+Y20)</f>
        <v>6036.418</v>
      </c>
      <c r="AB20" s="464">
        <f aca="true" t="shared" si="5" ref="AB20:AB29">SUM(D20+F20+H20+J20+L20+N20+P20+R20+T20+V20+X20+Z20)</f>
        <v>3224.723</v>
      </c>
    </row>
    <row r="21" spans="1:28" s="460" customFormat="1" ht="25.5" customHeight="1">
      <c r="A21" s="551" t="s">
        <v>235</v>
      </c>
      <c r="B21" s="455" t="s">
        <v>16</v>
      </c>
      <c r="C21" s="472">
        <v>0</v>
      </c>
      <c r="D21" s="472">
        <v>0</v>
      </c>
      <c r="E21" s="476">
        <v>0</v>
      </c>
      <c r="F21" s="476">
        <v>0</v>
      </c>
      <c r="G21" s="476">
        <v>0</v>
      </c>
      <c r="H21" s="476">
        <v>0</v>
      </c>
      <c r="I21" s="476">
        <v>0</v>
      </c>
      <c r="J21" s="476">
        <v>0</v>
      </c>
      <c r="K21" s="472">
        <v>52.138</v>
      </c>
      <c r="L21" s="472">
        <v>0</v>
      </c>
      <c r="M21" s="472">
        <v>1736.451</v>
      </c>
      <c r="N21" s="472">
        <v>0</v>
      </c>
      <c r="O21" s="472">
        <v>2165.455</v>
      </c>
      <c r="P21" s="472">
        <v>0</v>
      </c>
      <c r="Q21" s="472">
        <v>3035.28</v>
      </c>
      <c r="R21" s="472">
        <v>219.055</v>
      </c>
      <c r="S21" s="472">
        <v>2584.173</v>
      </c>
      <c r="T21" s="472">
        <v>224.805</v>
      </c>
      <c r="U21" s="472">
        <v>142.973</v>
      </c>
      <c r="V21" s="472">
        <v>159.63</v>
      </c>
      <c r="W21" s="472">
        <v>329.901</v>
      </c>
      <c r="X21" s="472">
        <v>325.027</v>
      </c>
      <c r="Y21" s="472">
        <v>2073.384</v>
      </c>
      <c r="Z21" s="472">
        <v>9002.398</v>
      </c>
      <c r="AA21" s="472">
        <f t="shared" si="4"/>
        <v>12119.755</v>
      </c>
      <c r="AB21" s="473">
        <f t="shared" si="5"/>
        <v>9930.914999999999</v>
      </c>
    </row>
    <row r="22" spans="1:28" s="460" customFormat="1" ht="25.5" customHeight="1">
      <c r="A22" s="554"/>
      <c r="B22" s="456" t="s">
        <v>17</v>
      </c>
      <c r="C22" s="463">
        <v>0</v>
      </c>
      <c r="D22" s="463">
        <v>0</v>
      </c>
      <c r="E22" s="465">
        <v>0</v>
      </c>
      <c r="F22" s="465">
        <v>0</v>
      </c>
      <c r="G22" s="465">
        <v>0</v>
      </c>
      <c r="H22" s="465">
        <v>0</v>
      </c>
      <c r="I22" s="465">
        <v>0</v>
      </c>
      <c r="J22" s="465">
        <v>0</v>
      </c>
      <c r="K22" s="463">
        <v>0</v>
      </c>
      <c r="L22" s="463">
        <v>0</v>
      </c>
      <c r="M22" s="463">
        <v>0</v>
      </c>
      <c r="N22" s="463">
        <v>0</v>
      </c>
      <c r="O22" s="463">
        <v>0</v>
      </c>
      <c r="P22" s="463">
        <v>0</v>
      </c>
      <c r="Q22" s="463">
        <v>0</v>
      </c>
      <c r="R22" s="463">
        <v>0</v>
      </c>
      <c r="S22" s="463">
        <v>0</v>
      </c>
      <c r="T22" s="463">
        <v>0</v>
      </c>
      <c r="U22" s="463">
        <v>0</v>
      </c>
      <c r="V22" s="463">
        <v>0</v>
      </c>
      <c r="W22" s="463">
        <v>0</v>
      </c>
      <c r="X22" s="463">
        <v>0</v>
      </c>
      <c r="Y22" s="463">
        <v>0</v>
      </c>
      <c r="Z22" s="463">
        <v>0</v>
      </c>
      <c r="AA22" s="463">
        <f t="shared" si="4"/>
        <v>0</v>
      </c>
      <c r="AB22" s="464">
        <f t="shared" si="5"/>
        <v>0</v>
      </c>
    </row>
    <row r="23" spans="1:28" s="460" customFormat="1" ht="25.5" customHeight="1">
      <c r="A23" s="554"/>
      <c r="B23" s="456" t="s">
        <v>198</v>
      </c>
      <c r="C23" s="463">
        <v>0</v>
      </c>
      <c r="D23" s="463">
        <v>0</v>
      </c>
      <c r="E23" s="465">
        <v>58.35</v>
      </c>
      <c r="F23" s="465">
        <v>0</v>
      </c>
      <c r="G23" s="465">
        <v>13036.123</v>
      </c>
      <c r="H23" s="465">
        <v>0</v>
      </c>
      <c r="I23" s="465">
        <v>4363.571</v>
      </c>
      <c r="J23" s="465">
        <v>0</v>
      </c>
      <c r="K23" s="463">
        <v>4351.211</v>
      </c>
      <c r="L23" s="463">
        <v>0</v>
      </c>
      <c r="M23" s="463">
        <v>4363.061</v>
      </c>
      <c r="N23" s="463">
        <v>0</v>
      </c>
      <c r="O23" s="463">
        <v>4363.668</v>
      </c>
      <c r="P23" s="463">
        <v>0</v>
      </c>
      <c r="Q23" s="463">
        <v>4321.751</v>
      </c>
      <c r="R23" s="463">
        <v>0</v>
      </c>
      <c r="S23" s="463">
        <v>4287.551</v>
      </c>
      <c r="T23" s="463">
        <v>0</v>
      </c>
      <c r="U23" s="463">
        <v>4362.281</v>
      </c>
      <c r="V23" s="463">
        <v>0</v>
      </c>
      <c r="W23" s="463">
        <v>4361.321</v>
      </c>
      <c r="X23" s="463">
        <v>0</v>
      </c>
      <c r="Y23" s="463">
        <v>4383.411</v>
      </c>
      <c r="Z23" s="463">
        <v>0</v>
      </c>
      <c r="AA23" s="463">
        <f t="shared" si="4"/>
        <v>52252.299000000006</v>
      </c>
      <c r="AB23" s="464">
        <f t="shared" si="5"/>
        <v>0</v>
      </c>
    </row>
    <row r="24" spans="1:28" s="460" customFormat="1" ht="25.5" customHeight="1">
      <c r="A24" s="554"/>
      <c r="B24" s="456" t="s">
        <v>176</v>
      </c>
      <c r="C24" s="463">
        <v>1350.578</v>
      </c>
      <c r="D24" s="463">
        <v>0</v>
      </c>
      <c r="E24" s="465">
        <v>199.715</v>
      </c>
      <c r="F24" s="465">
        <v>0</v>
      </c>
      <c r="G24" s="465">
        <v>349.91</v>
      </c>
      <c r="H24" s="465">
        <v>0</v>
      </c>
      <c r="I24" s="465">
        <v>1775.674</v>
      </c>
      <c r="J24" s="465">
        <v>0</v>
      </c>
      <c r="K24" s="463">
        <v>188.74</v>
      </c>
      <c r="L24" s="463">
        <v>0</v>
      </c>
      <c r="M24" s="463">
        <v>448.77</v>
      </c>
      <c r="N24" s="463">
        <v>0</v>
      </c>
      <c r="O24" s="463">
        <v>88.715</v>
      </c>
      <c r="P24" s="463">
        <v>0</v>
      </c>
      <c r="Q24" s="463">
        <v>79.06</v>
      </c>
      <c r="R24" s="463">
        <v>0</v>
      </c>
      <c r="S24" s="463">
        <v>1793.93</v>
      </c>
      <c r="T24" s="463">
        <v>0</v>
      </c>
      <c r="U24" s="463">
        <v>9049.41</v>
      </c>
      <c r="V24" s="463">
        <v>0</v>
      </c>
      <c r="W24" s="463">
        <v>7033.87</v>
      </c>
      <c r="X24" s="463">
        <v>0</v>
      </c>
      <c r="Y24" s="463">
        <v>6220.355</v>
      </c>
      <c r="Z24" s="463">
        <v>0</v>
      </c>
      <c r="AA24" s="463">
        <f t="shared" si="4"/>
        <v>28578.727</v>
      </c>
      <c r="AB24" s="464">
        <f t="shared" si="5"/>
        <v>0</v>
      </c>
    </row>
    <row r="25" spans="1:28" s="460" customFormat="1" ht="25.5" customHeight="1">
      <c r="A25" s="554"/>
      <c r="B25" s="456" t="s">
        <v>199</v>
      </c>
      <c r="C25" s="463">
        <v>4628.565</v>
      </c>
      <c r="D25" s="463">
        <v>0</v>
      </c>
      <c r="E25" s="465">
        <v>15304.845</v>
      </c>
      <c r="F25" s="465">
        <v>0</v>
      </c>
      <c r="G25" s="465">
        <v>0</v>
      </c>
      <c r="H25" s="465">
        <v>0</v>
      </c>
      <c r="I25" s="465">
        <v>109.42</v>
      </c>
      <c r="J25" s="465">
        <v>0</v>
      </c>
      <c r="K25" s="463">
        <v>0</v>
      </c>
      <c r="L25" s="463">
        <v>0</v>
      </c>
      <c r="M25" s="463">
        <v>0</v>
      </c>
      <c r="N25" s="463">
        <v>0</v>
      </c>
      <c r="O25" s="463">
        <v>0</v>
      </c>
      <c r="P25" s="463">
        <v>0</v>
      </c>
      <c r="Q25" s="463">
        <v>2.1</v>
      </c>
      <c r="R25" s="463">
        <v>0</v>
      </c>
      <c r="S25" s="463">
        <v>149.44</v>
      </c>
      <c r="T25" s="463">
        <v>0</v>
      </c>
      <c r="U25" s="463">
        <v>133.36</v>
      </c>
      <c r="V25" s="463">
        <v>75</v>
      </c>
      <c r="W25" s="463">
        <v>154</v>
      </c>
      <c r="X25" s="463">
        <v>0</v>
      </c>
      <c r="Y25" s="463">
        <v>0</v>
      </c>
      <c r="Z25" s="463">
        <v>0</v>
      </c>
      <c r="AA25" s="463">
        <f t="shared" si="4"/>
        <v>20481.729999999996</v>
      </c>
      <c r="AB25" s="464">
        <f t="shared" si="5"/>
        <v>75</v>
      </c>
    </row>
    <row r="26" spans="1:28" s="460" customFormat="1" ht="25.5" customHeight="1">
      <c r="A26" s="554"/>
      <c r="B26" s="456" t="s">
        <v>200</v>
      </c>
      <c r="C26" s="463">
        <v>0</v>
      </c>
      <c r="D26" s="463">
        <v>0</v>
      </c>
      <c r="E26" s="465">
        <v>0</v>
      </c>
      <c r="F26" s="465">
        <v>0</v>
      </c>
      <c r="G26" s="465">
        <v>0</v>
      </c>
      <c r="H26" s="465">
        <v>0</v>
      </c>
      <c r="I26" s="465">
        <v>0</v>
      </c>
      <c r="J26" s="465">
        <v>0</v>
      </c>
      <c r="K26" s="463">
        <v>0</v>
      </c>
      <c r="L26" s="463">
        <v>0</v>
      </c>
      <c r="M26" s="463">
        <v>0</v>
      </c>
      <c r="N26" s="463">
        <v>0</v>
      </c>
      <c r="O26" s="463">
        <v>0</v>
      </c>
      <c r="P26" s="463">
        <v>0</v>
      </c>
      <c r="Q26" s="463">
        <v>0</v>
      </c>
      <c r="R26" s="463">
        <v>0</v>
      </c>
      <c r="S26" s="463">
        <v>0</v>
      </c>
      <c r="T26" s="463">
        <v>0</v>
      </c>
      <c r="U26" s="463">
        <v>0</v>
      </c>
      <c r="V26" s="463">
        <v>0</v>
      </c>
      <c r="W26" s="463">
        <v>0</v>
      </c>
      <c r="X26" s="463">
        <v>0</v>
      </c>
      <c r="Y26" s="463">
        <v>0</v>
      </c>
      <c r="Z26" s="463">
        <v>0</v>
      </c>
      <c r="AA26" s="463">
        <f t="shared" si="4"/>
        <v>0</v>
      </c>
      <c r="AB26" s="464">
        <f t="shared" si="5"/>
        <v>0</v>
      </c>
    </row>
    <row r="27" spans="1:28" s="460" customFormat="1" ht="25.5" customHeight="1">
      <c r="A27" s="554"/>
      <c r="B27" s="456" t="s">
        <v>312</v>
      </c>
      <c r="C27" s="463">
        <v>0</v>
      </c>
      <c r="D27" s="463">
        <v>0</v>
      </c>
      <c r="E27" s="465">
        <v>0</v>
      </c>
      <c r="F27" s="465">
        <v>0</v>
      </c>
      <c r="G27" s="465">
        <v>0</v>
      </c>
      <c r="H27" s="465">
        <v>0</v>
      </c>
      <c r="I27" s="465">
        <v>0</v>
      </c>
      <c r="J27" s="465">
        <v>0</v>
      </c>
      <c r="K27" s="463">
        <v>0</v>
      </c>
      <c r="L27" s="463">
        <v>0</v>
      </c>
      <c r="M27" s="463">
        <v>0</v>
      </c>
      <c r="N27" s="463">
        <v>0</v>
      </c>
      <c r="O27" s="463">
        <v>0</v>
      </c>
      <c r="P27" s="463">
        <v>0</v>
      </c>
      <c r="Q27" s="463">
        <v>484.225</v>
      </c>
      <c r="R27" s="463">
        <v>0</v>
      </c>
      <c r="S27" s="463">
        <v>272.114</v>
      </c>
      <c r="T27" s="463">
        <v>0</v>
      </c>
      <c r="U27" s="463">
        <v>35.526</v>
      </c>
      <c r="V27" s="463">
        <v>0</v>
      </c>
      <c r="W27" s="463">
        <v>60.861</v>
      </c>
      <c r="X27" s="463">
        <v>0</v>
      </c>
      <c r="Y27" s="463">
        <v>688.879</v>
      </c>
      <c r="Z27" s="463">
        <v>0</v>
      </c>
      <c r="AA27" s="463">
        <f t="shared" si="4"/>
        <v>1541.605</v>
      </c>
      <c r="AB27" s="464">
        <f t="shared" si="5"/>
        <v>0</v>
      </c>
    </row>
    <row r="28" spans="1:28" s="460" customFormat="1" ht="25.5" customHeight="1">
      <c r="A28" s="554"/>
      <c r="B28" s="456" t="s">
        <v>201</v>
      </c>
      <c r="C28" s="463">
        <v>0</v>
      </c>
      <c r="D28" s="463">
        <v>0</v>
      </c>
      <c r="E28" s="465">
        <v>0</v>
      </c>
      <c r="F28" s="465">
        <v>0</v>
      </c>
      <c r="G28" s="465">
        <v>0</v>
      </c>
      <c r="H28" s="465">
        <v>0</v>
      </c>
      <c r="I28" s="465">
        <v>0</v>
      </c>
      <c r="J28" s="465">
        <v>0</v>
      </c>
      <c r="K28" s="463">
        <v>0</v>
      </c>
      <c r="L28" s="463">
        <v>0</v>
      </c>
      <c r="M28" s="463">
        <v>0</v>
      </c>
      <c r="N28" s="463">
        <v>0</v>
      </c>
      <c r="O28" s="463">
        <v>0</v>
      </c>
      <c r="P28" s="463">
        <v>0</v>
      </c>
      <c r="Q28" s="463">
        <v>0</v>
      </c>
      <c r="R28" s="463">
        <v>0</v>
      </c>
      <c r="S28" s="463">
        <v>0</v>
      </c>
      <c r="T28" s="463">
        <v>0</v>
      </c>
      <c r="U28" s="463">
        <v>0</v>
      </c>
      <c r="V28" s="463">
        <v>0</v>
      </c>
      <c r="W28" s="463">
        <v>0</v>
      </c>
      <c r="X28" s="463">
        <v>0</v>
      </c>
      <c r="Y28" s="463">
        <v>0</v>
      </c>
      <c r="Z28" s="463">
        <v>0</v>
      </c>
      <c r="AA28" s="463">
        <f t="shared" si="4"/>
        <v>0</v>
      </c>
      <c r="AB28" s="464">
        <f t="shared" si="5"/>
        <v>0</v>
      </c>
    </row>
    <row r="29" spans="1:28" s="460" customFormat="1" ht="25.5" customHeight="1">
      <c r="A29" s="554"/>
      <c r="B29" s="456" t="s">
        <v>283</v>
      </c>
      <c r="C29" s="463">
        <v>0</v>
      </c>
      <c r="D29" s="463">
        <v>0</v>
      </c>
      <c r="E29" s="465">
        <v>0</v>
      </c>
      <c r="F29" s="465">
        <v>0</v>
      </c>
      <c r="G29" s="465">
        <v>0</v>
      </c>
      <c r="H29" s="465">
        <v>0</v>
      </c>
      <c r="I29" s="465">
        <v>0</v>
      </c>
      <c r="J29" s="465">
        <v>0</v>
      </c>
      <c r="K29" s="463">
        <v>0</v>
      </c>
      <c r="L29" s="463">
        <v>435.172</v>
      </c>
      <c r="M29" s="463">
        <v>0</v>
      </c>
      <c r="N29" s="463">
        <v>1054.25</v>
      </c>
      <c r="O29" s="463">
        <v>0</v>
      </c>
      <c r="P29" s="463">
        <v>771.161</v>
      </c>
      <c r="Q29" s="463">
        <v>0</v>
      </c>
      <c r="R29" s="463">
        <v>186.722</v>
      </c>
      <c r="S29" s="463">
        <v>0</v>
      </c>
      <c r="T29" s="463">
        <v>0</v>
      </c>
      <c r="U29" s="463">
        <v>0</v>
      </c>
      <c r="V29" s="463">
        <v>0</v>
      </c>
      <c r="W29" s="463">
        <v>182.594</v>
      </c>
      <c r="X29" s="463">
        <v>343.838</v>
      </c>
      <c r="Y29" s="463">
        <v>0</v>
      </c>
      <c r="Z29" s="463">
        <v>2062.652</v>
      </c>
      <c r="AA29" s="463">
        <f t="shared" si="4"/>
        <v>182.594</v>
      </c>
      <c r="AB29" s="464">
        <f t="shared" si="5"/>
        <v>4853.795</v>
      </c>
    </row>
    <row r="30" spans="1:28" s="469" customFormat="1" ht="25.5" customHeight="1">
      <c r="A30" s="555"/>
      <c r="B30" s="457" t="s">
        <v>239</v>
      </c>
      <c r="C30" s="470">
        <f aca="true" t="shared" si="6" ref="C30:P30">SUM(C21:C29)</f>
        <v>5979.143</v>
      </c>
      <c r="D30" s="470">
        <f t="shared" si="6"/>
        <v>0</v>
      </c>
      <c r="E30" s="467">
        <f t="shared" si="6"/>
        <v>15562.91</v>
      </c>
      <c r="F30" s="467">
        <f t="shared" si="6"/>
        <v>0</v>
      </c>
      <c r="G30" s="467">
        <f t="shared" si="6"/>
        <v>13386.033</v>
      </c>
      <c r="H30" s="467">
        <f t="shared" si="6"/>
        <v>0</v>
      </c>
      <c r="I30" s="467">
        <f t="shared" si="6"/>
        <v>6248.665</v>
      </c>
      <c r="J30" s="467">
        <f t="shared" si="6"/>
        <v>0</v>
      </c>
      <c r="K30" s="470">
        <f t="shared" si="6"/>
        <v>4592.089</v>
      </c>
      <c r="L30" s="470">
        <f t="shared" si="6"/>
        <v>435.172</v>
      </c>
      <c r="M30" s="470">
        <f t="shared" si="6"/>
        <v>6548.281999999999</v>
      </c>
      <c r="N30" s="470">
        <f t="shared" si="6"/>
        <v>1054.25</v>
      </c>
      <c r="O30" s="470">
        <f t="shared" si="6"/>
        <v>6617.838</v>
      </c>
      <c r="P30" s="470">
        <f t="shared" si="6"/>
        <v>771.161</v>
      </c>
      <c r="Q30" s="470">
        <f aca="true" t="shared" si="7" ref="Q30:X30">SUM(Q21:Q29)</f>
        <v>7922.416000000002</v>
      </c>
      <c r="R30" s="470">
        <f t="shared" si="7"/>
        <v>405.77700000000004</v>
      </c>
      <c r="S30" s="470">
        <f t="shared" si="7"/>
        <v>9087.208</v>
      </c>
      <c r="T30" s="470">
        <f t="shared" si="7"/>
        <v>224.805</v>
      </c>
      <c r="U30" s="470">
        <f t="shared" si="7"/>
        <v>13723.550000000001</v>
      </c>
      <c r="V30" s="470">
        <f t="shared" si="7"/>
        <v>234.63</v>
      </c>
      <c r="W30" s="470">
        <f t="shared" si="7"/>
        <v>12122.547</v>
      </c>
      <c r="X30" s="470">
        <f t="shared" si="7"/>
        <v>668.865</v>
      </c>
      <c r="Y30" s="531">
        <f>SUM(Y21:Y29)</f>
        <v>13366.029</v>
      </c>
      <c r="Z30" s="531">
        <f>SUM(Z21:Z29)</f>
        <v>11065.05</v>
      </c>
      <c r="AA30" s="470">
        <f>SUM(AA21:AA29)</f>
        <v>115156.70999999999</v>
      </c>
      <c r="AB30" s="471">
        <f>SUM(AB21:AB29)</f>
        <v>14859.71</v>
      </c>
    </row>
    <row r="31" spans="1:28" s="469" customFormat="1" ht="24.75" customHeight="1">
      <c r="A31" s="548" t="s">
        <v>286</v>
      </c>
      <c r="B31" s="549"/>
      <c r="C31" s="463">
        <f aca="true" t="shared" si="8" ref="C31:P31">C19+C20+C30</f>
        <v>7507.665</v>
      </c>
      <c r="D31" s="463">
        <f>D19+D20+D30</f>
        <v>2791.654</v>
      </c>
      <c r="E31" s="463">
        <f>E19+E20+E30</f>
        <v>17199.084</v>
      </c>
      <c r="F31" s="484">
        <f>F19+F20+F30</f>
        <v>2528.679</v>
      </c>
      <c r="G31" s="463">
        <f t="shared" si="8"/>
        <v>38289.787</v>
      </c>
      <c r="H31" s="463">
        <f t="shared" si="8"/>
        <v>2909.62</v>
      </c>
      <c r="I31" s="463">
        <f t="shared" si="8"/>
        <v>31151.77</v>
      </c>
      <c r="J31" s="463">
        <f t="shared" si="8"/>
        <v>2776.028</v>
      </c>
      <c r="K31" s="463">
        <f t="shared" si="8"/>
        <v>29560.009</v>
      </c>
      <c r="L31" s="463">
        <f t="shared" si="8"/>
        <v>3251.575</v>
      </c>
      <c r="M31" s="463">
        <f t="shared" si="8"/>
        <v>8332.273</v>
      </c>
      <c r="N31" s="463">
        <f t="shared" si="8"/>
        <v>3697.184</v>
      </c>
      <c r="O31" s="463">
        <f t="shared" si="8"/>
        <v>8440.057</v>
      </c>
      <c r="P31" s="463">
        <f t="shared" si="8"/>
        <v>3557.771</v>
      </c>
      <c r="Q31" s="463">
        <f aca="true" t="shared" si="9" ref="Q31:X31">Q19+Q20+Q30</f>
        <v>9675.754000000003</v>
      </c>
      <c r="R31" s="463">
        <f t="shared" si="9"/>
        <v>2957.523</v>
      </c>
      <c r="S31" s="463">
        <f t="shared" si="9"/>
        <v>34111.259</v>
      </c>
      <c r="T31" s="463">
        <f t="shared" si="9"/>
        <v>2917.1279999999997</v>
      </c>
      <c r="U31" s="463">
        <f t="shared" si="9"/>
        <v>40071.161</v>
      </c>
      <c r="V31" s="463">
        <f t="shared" si="9"/>
        <v>1970.147</v>
      </c>
      <c r="W31" s="463">
        <f t="shared" si="9"/>
        <v>40502.188</v>
      </c>
      <c r="X31" s="463">
        <f t="shared" si="9"/>
        <v>2339.607</v>
      </c>
      <c r="Y31" s="532">
        <f>Y19+Y20+Y30</f>
        <v>20413.279000000002</v>
      </c>
      <c r="Z31" s="532">
        <f>Z19+Z20+Z30</f>
        <v>13742.891</v>
      </c>
      <c r="AA31" s="463">
        <f>AA19+AA20+AA30</f>
        <v>285254.28599999996</v>
      </c>
      <c r="AB31" s="464">
        <f>AB19+AB20+AB30</f>
        <v>45439.807</v>
      </c>
    </row>
    <row r="32" spans="1:28" s="461" customFormat="1" ht="25.5" customHeight="1">
      <c r="A32" s="546"/>
      <c r="B32" s="455" t="s">
        <v>10</v>
      </c>
      <c r="C32" s="472">
        <v>66934.575</v>
      </c>
      <c r="D32" s="488">
        <v>15059.896</v>
      </c>
      <c r="E32" s="476">
        <v>33349.489</v>
      </c>
      <c r="F32" s="476">
        <v>2570.912</v>
      </c>
      <c r="G32" s="476">
        <v>43597.37</v>
      </c>
      <c r="H32" s="476">
        <v>1807.995</v>
      </c>
      <c r="I32" s="476">
        <v>18103.425</v>
      </c>
      <c r="J32" s="482">
        <v>6155.266</v>
      </c>
      <c r="K32" s="472">
        <v>11655.318</v>
      </c>
      <c r="L32" s="472">
        <v>6369.788</v>
      </c>
      <c r="M32" s="472">
        <v>9546.718</v>
      </c>
      <c r="N32" s="472">
        <v>7307.421</v>
      </c>
      <c r="O32" s="472">
        <v>22380.636</v>
      </c>
      <c r="P32" s="486">
        <v>10527.58</v>
      </c>
      <c r="Q32" s="472">
        <v>31893.333</v>
      </c>
      <c r="R32" s="488">
        <v>11513.352</v>
      </c>
      <c r="S32" s="472">
        <v>25842.692</v>
      </c>
      <c r="T32" s="472">
        <v>4932.598</v>
      </c>
      <c r="U32" s="472">
        <v>44966.728</v>
      </c>
      <c r="V32" s="472">
        <v>3128.984</v>
      </c>
      <c r="W32" s="472">
        <v>24573.33</v>
      </c>
      <c r="X32" s="472">
        <v>7699.514</v>
      </c>
      <c r="Y32" s="532">
        <v>41763.005</v>
      </c>
      <c r="Z32" s="532">
        <v>18329.466</v>
      </c>
      <c r="AA32" s="463">
        <f>SUM(C32+E32+G32+I32+K32+M32+O32+Q32+S32+U32+W32+Y32)</f>
        <v>374606.619</v>
      </c>
      <c r="AB32" s="464">
        <f>SUM(D32+F32+H32+J32+L32+N32+P32+R32+T32+V32+X32+Z32)</f>
        <v>95402.772</v>
      </c>
    </row>
    <row r="33" spans="1:28" s="461" customFormat="1" ht="25.5" customHeight="1">
      <c r="A33" s="546"/>
      <c r="B33" s="456" t="s">
        <v>291</v>
      </c>
      <c r="C33" s="463">
        <v>7505.102</v>
      </c>
      <c r="D33" s="463">
        <v>0</v>
      </c>
      <c r="E33" s="465">
        <v>16958.905</v>
      </c>
      <c r="F33" s="465">
        <v>0</v>
      </c>
      <c r="G33" s="465">
        <v>14191.547</v>
      </c>
      <c r="H33" s="465">
        <v>0</v>
      </c>
      <c r="I33" s="465">
        <v>24604.354</v>
      </c>
      <c r="J33" s="465">
        <v>0</v>
      </c>
      <c r="K33" s="463">
        <v>721.151</v>
      </c>
      <c r="L33" s="463">
        <v>0</v>
      </c>
      <c r="M33" s="463">
        <v>40.3</v>
      </c>
      <c r="N33" s="463">
        <v>0</v>
      </c>
      <c r="O33" s="463">
        <v>8206.301</v>
      </c>
      <c r="P33" s="463">
        <v>0</v>
      </c>
      <c r="Q33" s="463">
        <v>36312.691</v>
      </c>
      <c r="R33" s="463">
        <v>0</v>
      </c>
      <c r="S33" s="463">
        <v>19406.367</v>
      </c>
      <c r="T33" s="463">
        <v>0</v>
      </c>
      <c r="U33" s="463">
        <v>5742.15</v>
      </c>
      <c r="V33" s="463">
        <v>0</v>
      </c>
      <c r="W33" s="463">
        <v>1598.586</v>
      </c>
      <c r="X33" s="463">
        <v>0</v>
      </c>
      <c r="Y33" s="463">
        <v>0</v>
      </c>
      <c r="Z33" s="463">
        <v>0</v>
      </c>
      <c r="AA33" s="463">
        <f>SUM(C33+E33+G33+I33+K33+M33+O33+Q33+S33+U33+W33+Y33)</f>
        <v>135287.454</v>
      </c>
      <c r="AB33" s="464">
        <f>SUM(D33+F33+H33+J33+L33+N33+P33+R33+T33+V33+X33+Z33)</f>
        <v>0</v>
      </c>
    </row>
    <row r="34" spans="1:28" s="466" customFormat="1" ht="25.5" customHeight="1">
      <c r="A34" s="546"/>
      <c r="B34" s="456" t="s">
        <v>285</v>
      </c>
      <c r="C34" s="463">
        <f>SUM(C32:C33)</f>
        <v>74439.677</v>
      </c>
      <c r="D34" s="463">
        <f aca="true" t="shared" si="10" ref="D34:AB34">SUM(D32:D33)</f>
        <v>15059.896</v>
      </c>
      <c r="E34" s="463">
        <f t="shared" si="10"/>
        <v>50308.394</v>
      </c>
      <c r="F34" s="463">
        <f t="shared" si="10"/>
        <v>2570.912</v>
      </c>
      <c r="G34" s="463">
        <f t="shared" si="10"/>
        <v>57788.917</v>
      </c>
      <c r="H34" s="463">
        <f t="shared" si="10"/>
        <v>1807.995</v>
      </c>
      <c r="I34" s="463">
        <f t="shared" si="10"/>
        <v>42707.778999999995</v>
      </c>
      <c r="J34" s="463">
        <f t="shared" si="10"/>
        <v>6155.266</v>
      </c>
      <c r="K34" s="463">
        <f t="shared" si="10"/>
        <v>12376.469</v>
      </c>
      <c r="L34" s="463">
        <f t="shared" si="10"/>
        <v>6369.788</v>
      </c>
      <c r="M34" s="463">
        <f t="shared" si="10"/>
        <v>9587.018</v>
      </c>
      <c r="N34" s="463">
        <f t="shared" si="10"/>
        <v>7307.421</v>
      </c>
      <c r="O34" s="463">
        <f t="shared" si="10"/>
        <v>30586.936999999998</v>
      </c>
      <c r="P34" s="487">
        <f t="shared" si="10"/>
        <v>10527.58</v>
      </c>
      <c r="Q34" s="463">
        <f t="shared" si="10"/>
        <v>68206.024</v>
      </c>
      <c r="R34" s="463">
        <f t="shared" si="10"/>
        <v>11513.352</v>
      </c>
      <c r="S34" s="463">
        <f t="shared" si="10"/>
        <v>45249.058999999994</v>
      </c>
      <c r="T34" s="463">
        <f t="shared" si="10"/>
        <v>4932.598</v>
      </c>
      <c r="U34" s="463">
        <f t="shared" si="10"/>
        <v>50708.878000000004</v>
      </c>
      <c r="V34" s="463">
        <f t="shared" si="10"/>
        <v>3128.984</v>
      </c>
      <c r="W34" s="463">
        <f t="shared" si="10"/>
        <v>26171.916</v>
      </c>
      <c r="X34" s="463">
        <f t="shared" si="10"/>
        <v>7699.514</v>
      </c>
      <c r="Y34" s="463">
        <f t="shared" si="10"/>
        <v>41763.005</v>
      </c>
      <c r="Z34" s="532">
        <f t="shared" si="10"/>
        <v>18329.466</v>
      </c>
      <c r="AA34" s="463">
        <f t="shared" si="10"/>
        <v>509894.073</v>
      </c>
      <c r="AB34" s="464">
        <f t="shared" si="10"/>
        <v>95402.772</v>
      </c>
    </row>
    <row r="35" spans="1:28" s="466" customFormat="1" ht="25.5" customHeight="1">
      <c r="A35" s="546"/>
      <c r="B35" s="456" t="s">
        <v>287</v>
      </c>
      <c r="C35" s="463">
        <v>77214.45</v>
      </c>
      <c r="D35" s="463">
        <v>4468.806</v>
      </c>
      <c r="E35" s="465">
        <v>60374.18</v>
      </c>
      <c r="F35" s="483">
        <v>98.971</v>
      </c>
      <c r="G35" s="483">
        <v>71667.292</v>
      </c>
      <c r="H35" s="465">
        <v>1193.548</v>
      </c>
      <c r="I35" s="465">
        <v>22205.205</v>
      </c>
      <c r="J35" s="465">
        <v>4247.214</v>
      </c>
      <c r="K35" s="463">
        <v>28194.772</v>
      </c>
      <c r="L35" s="463">
        <v>3636.117</v>
      </c>
      <c r="M35" s="532">
        <v>30163.293</v>
      </c>
      <c r="N35" s="463">
        <v>6712.896</v>
      </c>
      <c r="O35" s="463">
        <v>29010.914</v>
      </c>
      <c r="P35" s="463">
        <v>7257.588</v>
      </c>
      <c r="Q35" s="463">
        <v>40995.478</v>
      </c>
      <c r="R35" s="463">
        <v>8047.733</v>
      </c>
      <c r="S35" s="463">
        <v>60646.475</v>
      </c>
      <c r="T35" s="463">
        <v>5788.449</v>
      </c>
      <c r="U35" s="463">
        <v>111683.342</v>
      </c>
      <c r="V35" s="463">
        <v>250</v>
      </c>
      <c r="W35" s="463">
        <v>47073.634</v>
      </c>
      <c r="X35" s="463">
        <v>653</v>
      </c>
      <c r="Y35" s="463">
        <v>56300.039</v>
      </c>
      <c r="Z35" s="463">
        <v>11287.181</v>
      </c>
      <c r="AA35" s="463">
        <f aca="true" t="shared" si="11" ref="AA35:AB38">SUM(C35+E35+G35+I35+K35+M35+O35+Q35+S35+U35+W35+Y35)</f>
        <v>635529.074</v>
      </c>
      <c r="AB35" s="464">
        <f t="shared" si="11"/>
        <v>53641.503</v>
      </c>
    </row>
    <row r="36" spans="1:28" s="461" customFormat="1" ht="25.5" customHeight="1">
      <c r="A36" s="546"/>
      <c r="B36" s="456" t="s">
        <v>11</v>
      </c>
      <c r="C36" s="463">
        <v>57101.79</v>
      </c>
      <c r="D36" s="463">
        <v>1913.6</v>
      </c>
      <c r="E36" s="483">
        <v>36434.24</v>
      </c>
      <c r="F36" s="465">
        <v>0</v>
      </c>
      <c r="G36" s="465">
        <v>16875.18</v>
      </c>
      <c r="H36" s="465">
        <v>0</v>
      </c>
      <c r="I36" s="465">
        <v>0</v>
      </c>
      <c r="J36" s="465">
        <v>0</v>
      </c>
      <c r="K36" s="463">
        <v>0</v>
      </c>
      <c r="L36" s="463">
        <v>0</v>
      </c>
      <c r="M36" s="463">
        <v>7949.76</v>
      </c>
      <c r="N36" s="463">
        <v>0</v>
      </c>
      <c r="O36" s="463">
        <v>46943.84</v>
      </c>
      <c r="P36" s="463">
        <v>0</v>
      </c>
      <c r="Q36" s="463">
        <v>26557.34</v>
      </c>
      <c r="R36" s="463">
        <v>0</v>
      </c>
      <c r="S36" s="463">
        <v>7563.29</v>
      </c>
      <c r="T36" s="463">
        <v>0</v>
      </c>
      <c r="U36" s="463">
        <v>0</v>
      </c>
      <c r="V36" s="463">
        <v>170.85</v>
      </c>
      <c r="W36" s="463">
        <v>17107.35</v>
      </c>
      <c r="X36" s="463">
        <v>4769.75</v>
      </c>
      <c r="Y36" s="463">
        <v>57479.4</v>
      </c>
      <c r="Z36" s="463">
        <v>6411.4</v>
      </c>
      <c r="AA36" s="463">
        <f t="shared" si="11"/>
        <v>274012.19</v>
      </c>
      <c r="AB36" s="464">
        <f t="shared" si="11"/>
        <v>13265.599999999999</v>
      </c>
    </row>
    <row r="37" spans="1:28" s="461" customFormat="1" ht="25.5" customHeight="1">
      <c r="A37" s="546"/>
      <c r="B37" s="456" t="s">
        <v>288</v>
      </c>
      <c r="C37" s="463">
        <v>193.272</v>
      </c>
      <c r="D37" s="463">
        <v>8.871</v>
      </c>
      <c r="E37" s="465">
        <v>240.03</v>
      </c>
      <c r="F37" s="465">
        <v>7.299</v>
      </c>
      <c r="G37" s="465">
        <v>389.963</v>
      </c>
      <c r="H37" s="465">
        <v>7.702</v>
      </c>
      <c r="I37" s="465">
        <v>182.536</v>
      </c>
      <c r="J37" s="465">
        <v>9.442</v>
      </c>
      <c r="K37" s="463">
        <v>193.285</v>
      </c>
      <c r="L37" s="463">
        <v>15.515</v>
      </c>
      <c r="M37" s="463">
        <v>144.566</v>
      </c>
      <c r="N37" s="463">
        <v>18.714</v>
      </c>
      <c r="O37" s="463">
        <v>116.582</v>
      </c>
      <c r="P37" s="463">
        <v>12.461</v>
      </c>
      <c r="Q37" s="463">
        <v>160.973</v>
      </c>
      <c r="R37" s="463">
        <v>23.622</v>
      </c>
      <c r="S37" s="463">
        <v>499.376</v>
      </c>
      <c r="T37" s="463">
        <v>26.795</v>
      </c>
      <c r="U37" s="463">
        <v>748.871</v>
      </c>
      <c r="V37" s="463">
        <v>7.335</v>
      </c>
      <c r="W37" s="463">
        <v>312.977</v>
      </c>
      <c r="X37" s="463">
        <v>8.697</v>
      </c>
      <c r="Y37" s="463">
        <v>225.734</v>
      </c>
      <c r="Z37" s="463">
        <v>38.891</v>
      </c>
      <c r="AA37" s="463">
        <f t="shared" si="11"/>
        <v>3408.1650000000004</v>
      </c>
      <c r="AB37" s="464">
        <f t="shared" si="11"/>
        <v>185.344</v>
      </c>
    </row>
    <row r="38" spans="1:28" s="461" customFormat="1" ht="25.5" customHeight="1" thickBot="1">
      <c r="A38" s="547"/>
      <c r="B38" s="462" t="s">
        <v>250</v>
      </c>
      <c r="C38" s="474">
        <v>77.958</v>
      </c>
      <c r="D38" s="474">
        <v>24.919</v>
      </c>
      <c r="E38" s="477">
        <v>38.618</v>
      </c>
      <c r="F38" s="477">
        <v>1.687</v>
      </c>
      <c r="G38" s="477">
        <v>50.555</v>
      </c>
      <c r="H38" s="477">
        <v>2.889</v>
      </c>
      <c r="I38" s="477">
        <v>20.964</v>
      </c>
      <c r="J38" s="477">
        <v>15.805</v>
      </c>
      <c r="K38" s="474">
        <v>14.191</v>
      </c>
      <c r="L38" s="474">
        <v>11.037</v>
      </c>
      <c r="M38" s="474">
        <v>11.131</v>
      </c>
      <c r="N38" s="474">
        <v>13.094</v>
      </c>
      <c r="O38" s="474">
        <v>25.833</v>
      </c>
      <c r="P38" s="474">
        <v>18.254</v>
      </c>
      <c r="Q38" s="474">
        <v>37.831</v>
      </c>
      <c r="R38" s="474">
        <v>27.177</v>
      </c>
      <c r="S38" s="474">
        <v>30.085</v>
      </c>
      <c r="T38" s="474">
        <v>5.683</v>
      </c>
      <c r="U38" s="474">
        <v>50.894</v>
      </c>
      <c r="V38" s="474">
        <v>3.512</v>
      </c>
      <c r="W38" s="474">
        <v>28.02</v>
      </c>
      <c r="X38" s="474">
        <v>8.588</v>
      </c>
      <c r="Y38" s="474">
        <v>47.34</v>
      </c>
      <c r="Z38" s="474">
        <v>15.502</v>
      </c>
      <c r="AA38" s="474">
        <f t="shared" si="11"/>
        <v>433.41999999999996</v>
      </c>
      <c r="AB38" s="475">
        <f t="shared" si="11"/>
        <v>148.147</v>
      </c>
    </row>
    <row r="39" spans="1:28" ht="14.25" customHeight="1">
      <c r="A39" s="434"/>
      <c r="B39" s="434"/>
      <c r="C39" s="434"/>
      <c r="D39" s="434"/>
      <c r="E39" s="435"/>
      <c r="F39" s="435"/>
      <c r="G39" s="435"/>
      <c r="H39" s="435"/>
      <c r="I39" s="435"/>
      <c r="J39" s="435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</row>
    <row r="40" spans="1:28" ht="15" customHeight="1">
      <c r="A40" s="434"/>
      <c r="B40" s="434"/>
      <c r="C40" s="434"/>
      <c r="D40" s="434"/>
      <c r="E40" s="435"/>
      <c r="F40" s="435"/>
      <c r="G40" s="435"/>
      <c r="H40" s="435"/>
      <c r="I40" s="435"/>
      <c r="J40" s="435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</row>
    <row r="41" spans="1:28" ht="15.75" customHeight="1">
      <c r="A41" s="434"/>
      <c r="B41" s="434"/>
      <c r="C41" s="434"/>
      <c r="D41" s="434"/>
      <c r="E41" s="435"/>
      <c r="F41" s="435"/>
      <c r="G41" s="435"/>
      <c r="H41" s="435"/>
      <c r="I41" s="435"/>
      <c r="J41" s="435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</row>
    <row r="42" spans="1:28" ht="15.75" customHeight="1">
      <c r="A42" s="434"/>
      <c r="B42" s="434"/>
      <c r="C42" s="434"/>
      <c r="D42" s="434"/>
      <c r="E42" s="435"/>
      <c r="F42" s="435"/>
      <c r="G42" s="435"/>
      <c r="H42" s="435"/>
      <c r="I42" s="435"/>
      <c r="J42" s="435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535" t="s">
        <v>307</v>
      </c>
      <c r="Y42" s="535"/>
      <c r="Z42" s="535"/>
      <c r="AA42" s="434"/>
      <c r="AB42" s="434"/>
    </row>
    <row r="43" spans="1:28" ht="15.75" customHeight="1">
      <c r="A43" s="434"/>
      <c r="B43" s="434"/>
      <c r="C43" s="434"/>
      <c r="D43" s="434"/>
      <c r="E43" s="435"/>
      <c r="F43" s="435"/>
      <c r="G43" s="435"/>
      <c r="H43" s="435"/>
      <c r="I43" s="435"/>
      <c r="J43" s="435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535" t="s">
        <v>308</v>
      </c>
      <c r="Y43" s="535"/>
      <c r="Z43" s="535"/>
      <c r="AA43" s="434"/>
      <c r="AB43" s="434"/>
    </row>
    <row r="44" spans="1:28" ht="15.75" customHeight="1">
      <c r="A44" s="434"/>
      <c r="B44" s="445"/>
      <c r="C44" s="445"/>
      <c r="D44" s="445"/>
      <c r="E44" s="446"/>
      <c r="F44" s="446"/>
      <c r="G44" s="446"/>
      <c r="H44" s="446"/>
      <c r="I44" s="446"/>
      <c r="J44" s="446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34"/>
    </row>
    <row r="45" spans="1:28" ht="17.25" customHeight="1">
      <c r="A45" s="434"/>
      <c r="B45" s="447"/>
      <c r="C45" s="537"/>
      <c r="D45" s="537"/>
      <c r="E45" s="537"/>
      <c r="F45" s="448"/>
      <c r="G45" s="447"/>
      <c r="H45" s="447"/>
      <c r="I45" s="539" t="s">
        <v>20</v>
      </c>
      <c r="J45" s="539"/>
      <c r="K45" s="539"/>
      <c r="L45" s="449"/>
      <c r="M45" s="450"/>
      <c r="N45" s="450"/>
      <c r="O45" s="451" t="s">
        <v>23</v>
      </c>
      <c r="P45" s="452"/>
      <c r="Q45" s="452"/>
      <c r="R45" s="452"/>
      <c r="S45" s="452"/>
      <c r="T45" s="452"/>
      <c r="U45" s="452"/>
      <c r="V45" s="452"/>
      <c r="W45" s="452"/>
      <c r="X45" s="452"/>
      <c r="Y45" s="445"/>
      <c r="Z45" s="445"/>
      <c r="AA45" s="445"/>
      <c r="AB45" s="443"/>
    </row>
    <row r="46" spans="1:28" ht="15" customHeight="1">
      <c r="A46" s="434"/>
      <c r="B46" s="447" t="s">
        <v>240</v>
      </c>
      <c r="C46" s="444"/>
      <c r="D46" s="444"/>
      <c r="E46" s="453" t="s">
        <v>194</v>
      </c>
      <c r="F46" s="453"/>
      <c r="G46" s="453"/>
      <c r="H46" s="453"/>
      <c r="I46" s="538" t="s">
        <v>269</v>
      </c>
      <c r="J46" s="538"/>
      <c r="K46" s="538"/>
      <c r="L46" s="445"/>
      <c r="M46" s="453"/>
      <c r="N46" s="453"/>
      <c r="O46" s="447" t="s">
        <v>21</v>
      </c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32"/>
    </row>
    <row r="47" spans="1:28" ht="17.25" customHeight="1">
      <c r="A47" s="434"/>
      <c r="B47" s="536" t="s">
        <v>18</v>
      </c>
      <c r="C47" s="536"/>
      <c r="D47" s="454"/>
      <c r="E47" s="447"/>
      <c r="F47" s="447"/>
      <c r="G47" s="447"/>
      <c r="H47" s="447"/>
      <c r="I47" s="538" t="s">
        <v>244</v>
      </c>
      <c r="J47" s="538"/>
      <c r="K47" s="538"/>
      <c r="L47" s="445"/>
      <c r="M47" s="453"/>
      <c r="N47" s="453"/>
      <c r="O47" s="447" t="s">
        <v>22</v>
      </c>
      <c r="P47" s="453"/>
      <c r="Q47" s="453"/>
      <c r="R47" s="453"/>
      <c r="S47" s="453"/>
      <c r="T47" s="453"/>
      <c r="U47" s="453"/>
      <c r="V47" s="453"/>
      <c r="W47" s="453"/>
      <c r="X47" s="453"/>
      <c r="Y47" s="447"/>
      <c r="Z47" s="447"/>
      <c r="AA47" s="447"/>
      <c r="AB47" s="432"/>
    </row>
    <row r="48" spans="1:28" ht="16.5" customHeight="1">
      <c r="A48" s="434"/>
      <c r="B48" s="536" t="s">
        <v>19</v>
      </c>
      <c r="C48" s="536"/>
      <c r="D48" s="454"/>
      <c r="E48" s="447"/>
      <c r="F48" s="447"/>
      <c r="G48" s="447"/>
      <c r="H48" s="447"/>
      <c r="I48" s="479" t="s">
        <v>22</v>
      </c>
      <c r="J48" s="479"/>
      <c r="K48" s="478"/>
      <c r="L48" s="445"/>
      <c r="M48" s="445"/>
      <c r="N48" s="445"/>
      <c r="O48" s="447" t="s">
        <v>24</v>
      </c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32"/>
    </row>
    <row r="49" spans="2:27" ht="18.75" customHeight="1">
      <c r="B49" s="444"/>
      <c r="C49" s="444"/>
      <c r="D49" s="444"/>
      <c r="E49" s="444"/>
      <c r="F49" s="444"/>
      <c r="G49" s="444"/>
      <c r="H49" s="444"/>
      <c r="I49" s="479" t="s">
        <v>202</v>
      </c>
      <c r="J49" s="479"/>
      <c r="K49" s="480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</row>
    <row r="50" spans="9:11" ht="16.5">
      <c r="I50" s="481"/>
      <c r="J50" s="481"/>
      <c r="K50" s="481"/>
    </row>
  </sheetData>
  <sheetProtection/>
  <mergeCells count="29">
    <mergeCell ref="A31:B31"/>
    <mergeCell ref="AA4:AB4"/>
    <mergeCell ref="A7:A19"/>
    <mergeCell ref="A21:A30"/>
    <mergeCell ref="Q4:R4"/>
    <mergeCell ref="S4:T4"/>
    <mergeCell ref="U4:V4"/>
    <mergeCell ref="W4:X4"/>
    <mergeCell ref="A4:B5"/>
    <mergeCell ref="E1:Y1"/>
    <mergeCell ref="E2:Y2"/>
    <mergeCell ref="C4:D4"/>
    <mergeCell ref="E4:F4"/>
    <mergeCell ref="G4:H4"/>
    <mergeCell ref="I4:J4"/>
    <mergeCell ref="K4:L4"/>
    <mergeCell ref="Y4:Z4"/>
    <mergeCell ref="M4:N4"/>
    <mergeCell ref="O4:P4"/>
    <mergeCell ref="A6:B6"/>
    <mergeCell ref="X42:Z42"/>
    <mergeCell ref="X43:Z43"/>
    <mergeCell ref="B48:C48"/>
    <mergeCell ref="C45:E45"/>
    <mergeCell ref="I46:K46"/>
    <mergeCell ref="B47:C47"/>
    <mergeCell ref="I45:K45"/>
    <mergeCell ref="I47:K47"/>
    <mergeCell ref="A32:A38"/>
  </mergeCells>
  <printOptions/>
  <pageMargins left="0.15748031496063" right="0.118110236220472" top="0.196850393700787" bottom="0.196850393700787" header="0.511811023622047" footer="0.196850393700787"/>
  <pageSetup horizontalDpi="600" verticalDpi="600" orientation="landscape" paperSize="5" scale="58" r:id="rId1"/>
  <headerFooter alignWithMargins="0">
    <oddFooter>&amp;L&amp;Z&amp;F&amp;R&amp;P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00390625" style="0" customWidth="1"/>
    <col min="2" max="2" width="12.421875" style="0" customWidth="1"/>
    <col min="3" max="3" width="7.140625" style="0" customWidth="1"/>
    <col min="4" max="4" width="7.28125" style="0" customWidth="1"/>
    <col min="5" max="5" width="8.140625" style="0" customWidth="1"/>
    <col min="6" max="7" width="7.57421875" style="0" customWidth="1"/>
    <col min="8" max="8" width="7.421875" style="0" customWidth="1"/>
    <col min="9" max="9" width="9.8515625" style="0" customWidth="1"/>
    <col min="10" max="10" width="7.421875" style="0" customWidth="1"/>
    <col min="11" max="11" width="6.7109375" style="0" customWidth="1"/>
    <col min="12" max="12" width="8.57421875" style="0" customWidth="1"/>
    <col min="13" max="13" width="9.28125" style="0" customWidth="1"/>
    <col min="14" max="14" width="5.421875" style="0" customWidth="1"/>
    <col min="15" max="15" width="8.57421875" style="0" customWidth="1"/>
    <col min="16" max="16" width="9.7109375" style="0" customWidth="1"/>
    <col min="17" max="17" width="9.00390625" style="0" customWidth="1"/>
    <col min="18" max="18" width="8.140625" style="0" customWidth="1"/>
    <col min="19" max="19" width="8.7109375" style="0" customWidth="1"/>
  </cols>
  <sheetData>
    <row r="1" ht="15">
      <c r="A1" s="17"/>
    </row>
    <row r="2" spans="1:19" ht="12.75">
      <c r="A2" s="14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 t="s">
        <v>120</v>
      </c>
      <c r="R2" s="180"/>
      <c r="S2" s="180"/>
    </row>
    <row r="3" spans="1:19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82"/>
    </row>
    <row r="4" spans="1:1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75">
      <c r="A5" s="601" t="s">
        <v>105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2"/>
    </row>
    <row r="6" spans="1:19" ht="12.75">
      <c r="A6" s="183"/>
      <c r="B6" s="184"/>
      <c r="C6" s="184"/>
      <c r="D6" s="185"/>
      <c r="E6" s="14"/>
      <c r="F6" s="14"/>
      <c r="G6" s="14"/>
      <c r="H6" s="14"/>
      <c r="I6" s="186"/>
      <c r="J6" s="186"/>
      <c r="K6" s="186"/>
      <c r="L6" s="186"/>
      <c r="M6" s="186"/>
      <c r="N6" s="186"/>
      <c r="O6" s="186"/>
      <c r="P6" s="186"/>
      <c r="Q6" s="186"/>
      <c r="R6" s="182"/>
      <c r="S6" s="186"/>
    </row>
    <row r="7" spans="1:19" ht="15.75">
      <c r="A7" s="187"/>
      <c r="B7" s="183"/>
      <c r="C7" s="183"/>
      <c r="D7" s="186"/>
      <c r="E7" s="14"/>
      <c r="F7" s="186"/>
      <c r="G7" s="186"/>
      <c r="H7" s="186"/>
      <c r="I7" s="186"/>
      <c r="J7" s="14"/>
      <c r="K7" s="14"/>
      <c r="L7" s="14"/>
      <c r="M7" s="603" t="s">
        <v>191</v>
      </c>
      <c r="N7" s="604"/>
      <c r="O7" s="604"/>
      <c r="P7" s="604"/>
      <c r="Q7" s="605"/>
      <c r="R7" s="186"/>
      <c r="S7" s="186"/>
    </row>
    <row r="8" spans="1:19" ht="15.75">
      <c r="A8" s="218" t="s">
        <v>180</v>
      </c>
      <c r="B8" s="183"/>
      <c r="C8" s="183"/>
      <c r="D8" s="188"/>
      <c r="E8" s="186"/>
      <c r="F8" s="186"/>
      <c r="G8" s="186"/>
      <c r="H8" s="186"/>
      <c r="I8" s="186"/>
      <c r="J8" s="14"/>
      <c r="K8" s="14"/>
      <c r="L8" s="14"/>
      <c r="M8" s="183"/>
      <c r="N8" s="188"/>
      <c r="O8" s="188"/>
      <c r="P8" s="188"/>
      <c r="Q8" s="188"/>
      <c r="R8" s="186"/>
      <c r="S8" s="186"/>
    </row>
    <row r="9" spans="1:19" ht="12.75">
      <c r="A9" s="187"/>
      <c r="B9" s="183"/>
      <c r="C9" s="183"/>
      <c r="D9" s="189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</row>
    <row r="10" spans="1:19" ht="15.75">
      <c r="A10" s="219" t="s">
        <v>106</v>
      </c>
      <c r="B10" s="183"/>
      <c r="C10" s="183"/>
      <c r="D10" s="189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</row>
    <row r="11" spans="1:19" ht="12.75">
      <c r="A11" s="190"/>
      <c r="B11" s="190"/>
      <c r="C11" s="190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4"/>
      <c r="S11" s="14"/>
    </row>
    <row r="12" spans="1:19" ht="15.75">
      <c r="A12" s="606" t="s">
        <v>31</v>
      </c>
      <c r="B12" s="609" t="s">
        <v>32</v>
      </c>
      <c r="C12" s="612" t="s">
        <v>107</v>
      </c>
      <c r="D12" s="613"/>
      <c r="E12" s="613"/>
      <c r="F12" s="614"/>
      <c r="G12" s="615" t="s">
        <v>108</v>
      </c>
      <c r="H12" s="613"/>
      <c r="I12" s="613"/>
      <c r="J12" s="614"/>
      <c r="K12" s="615" t="s">
        <v>109</v>
      </c>
      <c r="L12" s="613"/>
      <c r="M12" s="613"/>
      <c r="N12" s="613"/>
      <c r="O12" s="616"/>
      <c r="P12" s="220"/>
      <c r="Q12" s="613" t="s">
        <v>110</v>
      </c>
      <c r="R12" s="613"/>
      <c r="S12" s="616"/>
    </row>
    <row r="13" spans="1:19" ht="15.75">
      <c r="A13" s="607"/>
      <c r="B13" s="610"/>
      <c r="C13" s="221" t="s">
        <v>88</v>
      </c>
      <c r="D13" s="221" t="s">
        <v>111</v>
      </c>
      <c r="E13" s="221" t="s">
        <v>36</v>
      </c>
      <c r="F13" s="221" t="s">
        <v>112</v>
      </c>
      <c r="G13" s="222" t="s">
        <v>88</v>
      </c>
      <c r="H13" s="222" t="s">
        <v>113</v>
      </c>
      <c r="I13" s="221" t="s">
        <v>111</v>
      </c>
      <c r="J13" s="221" t="s">
        <v>114</v>
      </c>
      <c r="K13" s="221" t="s">
        <v>88</v>
      </c>
      <c r="L13" s="221" t="s">
        <v>113</v>
      </c>
      <c r="M13" s="221" t="s">
        <v>87</v>
      </c>
      <c r="N13" s="221" t="s">
        <v>115</v>
      </c>
      <c r="O13" s="221" t="s">
        <v>112</v>
      </c>
      <c r="P13" s="221" t="s">
        <v>88</v>
      </c>
      <c r="Q13" s="221" t="s">
        <v>87</v>
      </c>
      <c r="R13" s="221" t="s">
        <v>115</v>
      </c>
      <c r="S13" s="221" t="s">
        <v>116</v>
      </c>
    </row>
    <row r="14" spans="1:19" ht="15.75">
      <c r="A14" s="608"/>
      <c r="B14" s="611"/>
      <c r="C14" s="221"/>
      <c r="D14" s="221"/>
      <c r="E14" s="221"/>
      <c r="F14" s="221" t="s">
        <v>117</v>
      </c>
      <c r="G14" s="223"/>
      <c r="H14" s="223"/>
      <c r="I14" s="223"/>
      <c r="J14" s="223"/>
      <c r="K14" s="223"/>
      <c r="L14" s="223"/>
      <c r="M14" s="224"/>
      <c r="N14" s="225"/>
      <c r="O14" s="226" t="s">
        <v>117</v>
      </c>
      <c r="P14" s="223"/>
      <c r="Q14" s="224"/>
      <c r="R14" s="226"/>
      <c r="S14" s="225" t="s">
        <v>118</v>
      </c>
    </row>
    <row r="15" spans="1:19" ht="15.75">
      <c r="A15" s="227" t="s">
        <v>43</v>
      </c>
      <c r="B15" s="228" t="s">
        <v>44</v>
      </c>
      <c r="C15" s="299">
        <v>3655</v>
      </c>
      <c r="D15" s="289">
        <v>5619</v>
      </c>
      <c r="E15" s="289">
        <v>111980</v>
      </c>
      <c r="F15" s="230"/>
      <c r="G15" s="230">
        <v>0</v>
      </c>
      <c r="H15" s="230">
        <v>0</v>
      </c>
      <c r="I15" s="230">
        <v>0</v>
      </c>
      <c r="J15" s="231"/>
      <c r="K15" s="230">
        <v>3653.725</v>
      </c>
      <c r="L15" s="230">
        <v>0</v>
      </c>
      <c r="M15" s="230">
        <v>7.14</v>
      </c>
      <c r="N15" s="230"/>
      <c r="O15" s="230"/>
      <c r="P15" s="230">
        <f>+K15/C15*100</f>
        <v>99.96511627906976</v>
      </c>
      <c r="Q15" s="230">
        <f aca="true" t="shared" si="0" ref="Q15:Q31">+M15/D15*100</f>
        <v>0.12706887346502935</v>
      </c>
      <c r="R15" s="230">
        <f>+L15/E15*100</f>
        <v>0</v>
      </c>
      <c r="S15" s="230"/>
    </row>
    <row r="16" spans="1:19" ht="15.75">
      <c r="A16" s="227" t="s">
        <v>45</v>
      </c>
      <c r="B16" s="232" t="s">
        <v>46</v>
      </c>
      <c r="C16" s="299">
        <v>8696</v>
      </c>
      <c r="D16" s="289">
        <v>1987</v>
      </c>
      <c r="E16" s="289">
        <v>79419</v>
      </c>
      <c r="F16" s="230"/>
      <c r="G16" s="230">
        <v>0</v>
      </c>
      <c r="H16" s="230">
        <v>0</v>
      </c>
      <c r="I16" s="230">
        <v>0</v>
      </c>
      <c r="J16" s="231"/>
      <c r="K16" s="230">
        <v>8695.585</v>
      </c>
      <c r="L16" s="230">
        <v>0</v>
      </c>
      <c r="M16" s="230">
        <v>0</v>
      </c>
      <c r="N16" s="230"/>
      <c r="O16" s="230"/>
      <c r="P16" s="230">
        <f aca="true" t="shared" si="1" ref="P16:P30">+K16/C16*100</f>
        <v>99.99522769089235</v>
      </c>
      <c r="Q16" s="230">
        <f t="shared" si="0"/>
        <v>0</v>
      </c>
      <c r="R16" s="230">
        <f aca="true" t="shared" si="2" ref="R16:R31">+L16/E16*100</f>
        <v>0</v>
      </c>
      <c r="S16" s="230"/>
    </row>
    <row r="17" spans="1:19" ht="15.75">
      <c r="A17" s="227" t="s">
        <v>47</v>
      </c>
      <c r="B17" s="232" t="s">
        <v>48</v>
      </c>
      <c r="C17" s="299">
        <v>1819</v>
      </c>
      <c r="D17" s="289">
        <v>1439</v>
      </c>
      <c r="E17" s="289">
        <v>21224</v>
      </c>
      <c r="F17" s="230"/>
      <c r="G17" s="230">
        <v>0</v>
      </c>
      <c r="H17" s="230">
        <v>0</v>
      </c>
      <c r="I17" s="230">
        <v>0</v>
      </c>
      <c r="J17" s="231"/>
      <c r="K17" s="230">
        <v>1818.575</v>
      </c>
      <c r="L17" s="230">
        <v>0</v>
      </c>
      <c r="M17" s="230">
        <v>0</v>
      </c>
      <c r="N17" s="230"/>
      <c r="O17" s="230"/>
      <c r="P17" s="230">
        <f t="shared" si="1"/>
        <v>99.9766355140187</v>
      </c>
      <c r="Q17" s="230">
        <f t="shared" si="0"/>
        <v>0</v>
      </c>
      <c r="R17" s="230">
        <f t="shared" si="2"/>
        <v>0</v>
      </c>
      <c r="S17" s="230"/>
    </row>
    <row r="18" spans="1:19" ht="15.75">
      <c r="A18" s="227" t="s">
        <v>49</v>
      </c>
      <c r="B18" s="232" t="s">
        <v>50</v>
      </c>
      <c r="C18" s="299">
        <v>628</v>
      </c>
      <c r="D18" s="289">
        <v>4147</v>
      </c>
      <c r="E18" s="289">
        <v>38171</v>
      </c>
      <c r="F18" s="230"/>
      <c r="G18" s="230">
        <v>0</v>
      </c>
      <c r="H18" s="230">
        <v>0</v>
      </c>
      <c r="I18" s="230">
        <v>0</v>
      </c>
      <c r="J18" s="231"/>
      <c r="K18" s="230">
        <v>585.905</v>
      </c>
      <c r="L18" s="230">
        <v>0</v>
      </c>
      <c r="M18" s="230">
        <v>0</v>
      </c>
      <c r="N18" s="230"/>
      <c r="O18" s="230"/>
      <c r="P18" s="230">
        <f t="shared" si="1"/>
        <v>93.29697452229298</v>
      </c>
      <c r="Q18" s="230">
        <f t="shared" si="0"/>
        <v>0</v>
      </c>
      <c r="R18" s="230">
        <f t="shared" si="2"/>
        <v>0</v>
      </c>
      <c r="S18" s="230"/>
    </row>
    <row r="19" spans="1:19" ht="15.75">
      <c r="A19" s="227" t="s">
        <v>51</v>
      </c>
      <c r="B19" s="232" t="s">
        <v>52</v>
      </c>
      <c r="C19" s="299">
        <v>153</v>
      </c>
      <c r="D19" s="289">
        <v>1817</v>
      </c>
      <c r="E19" s="289">
        <v>15222</v>
      </c>
      <c r="F19" s="230"/>
      <c r="G19" s="230">
        <v>0</v>
      </c>
      <c r="H19" s="230">
        <v>0</v>
      </c>
      <c r="I19" s="230">
        <v>0</v>
      </c>
      <c r="J19" s="231"/>
      <c r="K19" s="230">
        <v>152.745</v>
      </c>
      <c r="L19" s="230">
        <v>0</v>
      </c>
      <c r="M19" s="230">
        <v>0</v>
      </c>
      <c r="N19" s="230"/>
      <c r="O19" s="230"/>
      <c r="P19" s="230">
        <f t="shared" si="1"/>
        <v>99.83333333333334</v>
      </c>
      <c r="Q19" s="230">
        <f t="shared" si="0"/>
        <v>0</v>
      </c>
      <c r="R19" s="230">
        <f t="shared" si="2"/>
        <v>0</v>
      </c>
      <c r="S19" s="230"/>
    </row>
    <row r="20" spans="1:19" ht="15.75">
      <c r="A20" s="227" t="s">
        <v>53</v>
      </c>
      <c r="B20" s="232" t="s">
        <v>54</v>
      </c>
      <c r="C20" s="299">
        <v>1577</v>
      </c>
      <c r="D20" s="289">
        <v>3523</v>
      </c>
      <c r="E20" s="289">
        <v>21180</v>
      </c>
      <c r="F20" s="230"/>
      <c r="G20" s="230">
        <v>0</v>
      </c>
      <c r="H20" s="230">
        <v>0</v>
      </c>
      <c r="I20" s="230">
        <v>0</v>
      </c>
      <c r="J20" s="231"/>
      <c r="K20" s="230">
        <v>1572.585</v>
      </c>
      <c r="L20" s="230">
        <v>0</v>
      </c>
      <c r="M20" s="230">
        <v>0</v>
      </c>
      <c r="N20" s="230"/>
      <c r="O20" s="230"/>
      <c r="P20" s="230">
        <f t="shared" si="1"/>
        <v>99.72003804692454</v>
      </c>
      <c r="Q20" s="230">
        <f t="shared" si="0"/>
        <v>0</v>
      </c>
      <c r="R20" s="230">
        <f t="shared" si="2"/>
        <v>0</v>
      </c>
      <c r="S20" s="230"/>
    </row>
    <row r="21" spans="1:19" ht="15.75">
      <c r="A21" s="227" t="s">
        <v>55</v>
      </c>
      <c r="B21" s="232" t="s">
        <v>56</v>
      </c>
      <c r="C21" s="299">
        <v>272</v>
      </c>
      <c r="D21" s="289">
        <v>3791</v>
      </c>
      <c r="E21" s="289">
        <v>30725</v>
      </c>
      <c r="F21" s="230"/>
      <c r="G21" s="230">
        <v>0</v>
      </c>
      <c r="H21" s="230">
        <v>0</v>
      </c>
      <c r="I21" s="230">
        <v>0</v>
      </c>
      <c r="J21" s="231"/>
      <c r="K21" s="230">
        <v>271.32</v>
      </c>
      <c r="L21" s="230">
        <v>0</v>
      </c>
      <c r="M21" s="230">
        <v>0</v>
      </c>
      <c r="N21" s="230"/>
      <c r="O21" s="230"/>
      <c r="P21" s="230">
        <f t="shared" si="1"/>
        <v>99.75</v>
      </c>
      <c r="Q21" s="230">
        <f t="shared" si="0"/>
        <v>0</v>
      </c>
      <c r="R21" s="230">
        <f t="shared" si="2"/>
        <v>0</v>
      </c>
      <c r="S21" s="230"/>
    </row>
    <row r="22" spans="1:19" ht="15.75">
      <c r="A22" s="227" t="s">
        <v>57</v>
      </c>
      <c r="B22" s="232" t="s">
        <v>58</v>
      </c>
      <c r="C22" s="299">
        <v>651</v>
      </c>
      <c r="D22" s="289">
        <v>2637</v>
      </c>
      <c r="E22" s="289">
        <v>22916</v>
      </c>
      <c r="F22" s="230"/>
      <c r="G22" s="230">
        <v>0</v>
      </c>
      <c r="H22" s="230">
        <v>0</v>
      </c>
      <c r="I22" s="230">
        <v>0</v>
      </c>
      <c r="J22" s="231"/>
      <c r="K22" s="230">
        <v>650.76</v>
      </c>
      <c r="L22" s="230">
        <v>0</v>
      </c>
      <c r="M22" s="230">
        <v>0</v>
      </c>
      <c r="N22" s="230"/>
      <c r="O22" s="230"/>
      <c r="P22" s="230">
        <f t="shared" si="1"/>
        <v>99.963133640553</v>
      </c>
      <c r="Q22" s="230">
        <f t="shared" si="0"/>
        <v>0</v>
      </c>
      <c r="R22" s="230">
        <f t="shared" si="2"/>
        <v>0</v>
      </c>
      <c r="S22" s="230"/>
    </row>
    <row r="23" spans="1:19" ht="15.75">
      <c r="A23" s="227" t="s">
        <v>59</v>
      </c>
      <c r="B23" s="232" t="s">
        <v>60</v>
      </c>
      <c r="C23" s="299">
        <v>158</v>
      </c>
      <c r="D23" s="289">
        <v>6167</v>
      </c>
      <c r="E23" s="289">
        <v>88337</v>
      </c>
      <c r="F23" s="230"/>
      <c r="G23" s="230">
        <v>0</v>
      </c>
      <c r="H23" s="230">
        <v>0</v>
      </c>
      <c r="I23" s="230">
        <v>0</v>
      </c>
      <c r="J23" s="231"/>
      <c r="K23" s="230">
        <v>156.655</v>
      </c>
      <c r="L23" s="230">
        <v>28.475</v>
      </c>
      <c r="M23" s="230">
        <v>58.31</v>
      </c>
      <c r="N23" s="230"/>
      <c r="O23" s="230"/>
      <c r="P23" s="230">
        <f t="shared" si="1"/>
        <v>99.14873417721519</v>
      </c>
      <c r="Q23" s="230">
        <f t="shared" si="0"/>
        <v>0.945516458569807</v>
      </c>
      <c r="R23" s="230">
        <f t="shared" si="2"/>
        <v>0.03223451102029727</v>
      </c>
      <c r="S23" s="230"/>
    </row>
    <row r="24" spans="1:19" ht="15.75">
      <c r="A24" s="227" t="s">
        <v>61</v>
      </c>
      <c r="B24" s="232" t="s">
        <v>62</v>
      </c>
      <c r="C24" s="299">
        <v>197</v>
      </c>
      <c r="D24" s="289">
        <v>2327</v>
      </c>
      <c r="E24" s="289">
        <v>29150</v>
      </c>
      <c r="F24" s="230"/>
      <c r="G24" s="230">
        <v>0</v>
      </c>
      <c r="H24" s="230">
        <v>0</v>
      </c>
      <c r="I24" s="230">
        <v>0</v>
      </c>
      <c r="J24" s="231"/>
      <c r="K24" s="230">
        <v>196.945</v>
      </c>
      <c r="L24" s="230">
        <v>0</v>
      </c>
      <c r="M24" s="230">
        <v>0</v>
      </c>
      <c r="N24" s="230"/>
      <c r="O24" s="230"/>
      <c r="P24" s="230">
        <f t="shared" si="1"/>
        <v>99.97208121827411</v>
      </c>
      <c r="Q24" s="230">
        <f t="shared" si="0"/>
        <v>0</v>
      </c>
      <c r="R24" s="230">
        <f t="shared" si="2"/>
        <v>0</v>
      </c>
      <c r="S24" s="230"/>
    </row>
    <row r="25" spans="1:19" ht="15.75">
      <c r="A25" s="227" t="s">
        <v>63</v>
      </c>
      <c r="B25" s="232" t="s">
        <v>64</v>
      </c>
      <c r="C25" s="299">
        <v>4027</v>
      </c>
      <c r="D25" s="289">
        <v>2453</v>
      </c>
      <c r="E25" s="289">
        <v>18270</v>
      </c>
      <c r="F25" s="230"/>
      <c r="G25" s="230">
        <v>0</v>
      </c>
      <c r="H25" s="230">
        <v>0</v>
      </c>
      <c r="I25" s="230">
        <v>0</v>
      </c>
      <c r="J25" s="231"/>
      <c r="K25" s="230">
        <v>4026.79</v>
      </c>
      <c r="L25" s="230">
        <v>0</v>
      </c>
      <c r="M25" s="230">
        <v>8.26</v>
      </c>
      <c r="N25" s="230"/>
      <c r="O25" s="230"/>
      <c r="P25" s="230">
        <f t="shared" si="1"/>
        <v>99.99478519990068</v>
      </c>
      <c r="Q25" s="230">
        <f t="shared" si="0"/>
        <v>0.33673053403995107</v>
      </c>
      <c r="R25" s="230">
        <f t="shared" si="2"/>
        <v>0</v>
      </c>
      <c r="S25" s="230"/>
    </row>
    <row r="26" spans="1:19" ht="15.75">
      <c r="A26" s="227" t="s">
        <v>65</v>
      </c>
      <c r="B26" s="232" t="s">
        <v>66</v>
      </c>
      <c r="C26" s="299">
        <v>3240</v>
      </c>
      <c r="D26" s="289">
        <v>2535</v>
      </c>
      <c r="E26" s="289">
        <v>26780</v>
      </c>
      <c r="F26" s="230"/>
      <c r="G26" s="230">
        <v>0</v>
      </c>
      <c r="H26" s="230">
        <v>0</v>
      </c>
      <c r="I26" s="230">
        <v>0</v>
      </c>
      <c r="J26" s="231"/>
      <c r="K26" s="230">
        <v>3239.18</v>
      </c>
      <c r="L26" s="230">
        <v>0</v>
      </c>
      <c r="M26" s="230">
        <v>3.01</v>
      </c>
      <c r="N26" s="230"/>
      <c r="O26" s="230"/>
      <c r="P26" s="230">
        <f t="shared" si="1"/>
        <v>99.97469135802469</v>
      </c>
      <c r="Q26" s="230">
        <f t="shared" si="0"/>
        <v>0.11873767258382642</v>
      </c>
      <c r="R26" s="230">
        <f t="shared" si="2"/>
        <v>0</v>
      </c>
      <c r="S26" s="230"/>
    </row>
    <row r="27" spans="1:19" ht="15.75">
      <c r="A27" s="227" t="s">
        <v>67</v>
      </c>
      <c r="B27" s="232" t="s">
        <v>68</v>
      </c>
      <c r="C27" s="299">
        <v>1629</v>
      </c>
      <c r="D27" s="289">
        <v>6058</v>
      </c>
      <c r="E27" s="289">
        <v>76333</v>
      </c>
      <c r="F27" s="230"/>
      <c r="G27" s="230">
        <v>0</v>
      </c>
      <c r="H27" s="230">
        <v>0</v>
      </c>
      <c r="I27" s="230">
        <v>0</v>
      </c>
      <c r="J27" s="231"/>
      <c r="K27" s="230">
        <v>1628.6</v>
      </c>
      <c r="L27" s="230">
        <v>0</v>
      </c>
      <c r="M27" s="230">
        <v>127.47</v>
      </c>
      <c r="N27" s="230"/>
      <c r="O27" s="230"/>
      <c r="P27" s="230">
        <f t="shared" si="1"/>
        <v>99.97544505831797</v>
      </c>
      <c r="Q27" s="230">
        <f t="shared" si="0"/>
        <v>2.1041597887091448</v>
      </c>
      <c r="R27" s="230">
        <f t="shared" si="2"/>
        <v>0</v>
      </c>
      <c r="S27" s="230"/>
    </row>
    <row r="28" spans="1:19" ht="15.75">
      <c r="A28" s="227" t="s">
        <v>69</v>
      </c>
      <c r="B28" s="232" t="s">
        <v>70</v>
      </c>
      <c r="C28" s="299">
        <v>2234</v>
      </c>
      <c r="D28" s="289">
        <v>1435</v>
      </c>
      <c r="E28" s="289">
        <v>11035</v>
      </c>
      <c r="F28" s="230"/>
      <c r="G28" s="230">
        <v>0</v>
      </c>
      <c r="H28" s="230">
        <v>0</v>
      </c>
      <c r="I28" s="230">
        <v>0</v>
      </c>
      <c r="J28" s="231"/>
      <c r="K28" s="230">
        <v>2233.63</v>
      </c>
      <c r="L28" s="230">
        <v>11.645</v>
      </c>
      <c r="M28" s="230">
        <v>9.8</v>
      </c>
      <c r="N28" s="230"/>
      <c r="O28" s="230"/>
      <c r="P28" s="230">
        <f t="shared" si="1"/>
        <v>99.98343777976724</v>
      </c>
      <c r="Q28" s="230">
        <f t="shared" si="0"/>
        <v>0.6829268292682927</v>
      </c>
      <c r="R28" s="230">
        <f t="shared" si="2"/>
        <v>0.10552786588128682</v>
      </c>
      <c r="S28" s="230"/>
    </row>
    <row r="29" spans="1:19" ht="15.75">
      <c r="A29" s="227" t="s">
        <v>71</v>
      </c>
      <c r="B29" s="232" t="s">
        <v>72</v>
      </c>
      <c r="C29" s="299">
        <v>4433</v>
      </c>
      <c r="D29" s="289">
        <v>2054</v>
      </c>
      <c r="E29" s="289">
        <v>54878</v>
      </c>
      <c r="F29" s="230"/>
      <c r="G29" s="230">
        <v>0</v>
      </c>
      <c r="H29" s="230">
        <v>0</v>
      </c>
      <c r="I29" s="230">
        <v>0</v>
      </c>
      <c r="J29" s="231"/>
      <c r="K29" s="230">
        <v>4427.82</v>
      </c>
      <c r="L29" s="230">
        <v>0</v>
      </c>
      <c r="M29" s="230">
        <v>0</v>
      </c>
      <c r="N29" s="230"/>
      <c r="O29" s="230"/>
      <c r="P29" s="230">
        <f t="shared" si="1"/>
        <v>99.88314910895555</v>
      </c>
      <c r="Q29" s="230">
        <f t="shared" si="0"/>
        <v>0</v>
      </c>
      <c r="R29" s="230">
        <f t="shared" si="2"/>
        <v>0</v>
      </c>
      <c r="S29" s="230"/>
    </row>
    <row r="30" spans="1:19" ht="15.75">
      <c r="A30" s="233" t="s">
        <v>73</v>
      </c>
      <c r="B30" s="234" t="s">
        <v>74</v>
      </c>
      <c r="C30" s="299">
        <v>382</v>
      </c>
      <c r="D30" s="289">
        <v>4155</v>
      </c>
      <c r="E30" s="289">
        <v>15762</v>
      </c>
      <c r="F30" s="230"/>
      <c r="G30" s="230">
        <v>0</v>
      </c>
      <c r="H30" s="230">
        <v>0</v>
      </c>
      <c r="I30" s="230">
        <v>0</v>
      </c>
      <c r="J30" s="231"/>
      <c r="K30" s="230">
        <v>381.735</v>
      </c>
      <c r="L30" s="230">
        <v>0</v>
      </c>
      <c r="M30" s="230">
        <v>3.92</v>
      </c>
      <c r="N30" s="230"/>
      <c r="O30" s="230"/>
      <c r="P30" s="230">
        <f t="shared" si="1"/>
        <v>99.93062827225131</v>
      </c>
      <c r="Q30" s="230">
        <f t="shared" si="0"/>
        <v>0.09434416365824308</v>
      </c>
      <c r="R30" s="230">
        <f t="shared" si="2"/>
        <v>0</v>
      </c>
      <c r="S30" s="230"/>
    </row>
    <row r="31" spans="1:19" s="43" customFormat="1" ht="15.75">
      <c r="A31" s="235" t="s">
        <v>119</v>
      </c>
      <c r="B31" s="236"/>
      <c r="C31" s="237">
        <f>SUM(C15:C30)</f>
        <v>33751</v>
      </c>
      <c r="D31" s="288">
        <f aca="true" t="shared" si="3" ref="D31:N31">SUM(D15:D30)</f>
        <v>52144</v>
      </c>
      <c r="E31" s="288">
        <f t="shared" si="3"/>
        <v>661382</v>
      </c>
      <c r="F31" s="237">
        <f>+D31/60*41.08+E31</f>
        <v>697083.2586666667</v>
      </c>
      <c r="G31" s="288">
        <f t="shared" si="3"/>
        <v>0</v>
      </c>
      <c r="H31" s="288">
        <f>SUM(H15:H30)</f>
        <v>0</v>
      </c>
      <c r="I31" s="288">
        <f>SUM(I15:I30)</f>
        <v>0</v>
      </c>
      <c r="J31" s="288">
        <f>SUM(J15:J30)</f>
        <v>0</v>
      </c>
      <c r="K31" s="288">
        <f t="shared" si="3"/>
        <v>33692.555</v>
      </c>
      <c r="L31" s="288">
        <f t="shared" si="3"/>
        <v>40.120000000000005</v>
      </c>
      <c r="M31" s="288">
        <f>SUM(M15:M30)</f>
        <v>217.91</v>
      </c>
      <c r="N31" s="288">
        <f t="shared" si="3"/>
        <v>0</v>
      </c>
      <c r="O31" s="230">
        <f>+M31/60*41.08+N31+L31</f>
        <v>189.31571333333332</v>
      </c>
      <c r="P31" s="230">
        <f>+K31/C31*100</f>
        <v>99.82683476045155</v>
      </c>
      <c r="Q31" s="230">
        <f t="shared" si="0"/>
        <v>0.41790042957962564</v>
      </c>
      <c r="R31" s="230">
        <f t="shared" si="2"/>
        <v>0.006066085862633093</v>
      </c>
      <c r="S31" s="230"/>
    </row>
  </sheetData>
  <sheetProtection/>
  <mergeCells count="8">
    <mergeCell ref="A5:S5"/>
    <mergeCell ref="M7:Q7"/>
    <mergeCell ref="A12:A14"/>
    <mergeCell ref="B12:B14"/>
    <mergeCell ref="C12:F12"/>
    <mergeCell ref="G12:J12"/>
    <mergeCell ref="K12:O12"/>
    <mergeCell ref="Q12:S12"/>
  </mergeCells>
  <printOptions/>
  <pageMargins left="0.4" right="0.2" top="0.5" bottom="0.5" header="0.5" footer="0.5"/>
  <pageSetup horizontalDpi="600" verticalDpi="600" orientation="portrait" paperSize="5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2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3.57421875" style="17" customWidth="1"/>
    <col min="2" max="2" width="9.140625" style="17" customWidth="1"/>
    <col min="3" max="3" width="4.8515625" style="17" customWidth="1"/>
    <col min="4" max="4" width="5.421875" style="17" customWidth="1"/>
    <col min="5" max="5" width="5.7109375" style="17" customWidth="1"/>
    <col min="6" max="6" width="7.00390625" style="17" customWidth="1"/>
    <col min="7" max="7" width="6.140625" style="17" customWidth="1"/>
    <col min="8" max="8" width="5.28125" style="17" customWidth="1"/>
    <col min="9" max="9" width="8.140625" style="17" customWidth="1"/>
    <col min="10" max="10" width="6.00390625" style="17" customWidth="1"/>
    <col min="11" max="11" width="5.57421875" style="17" customWidth="1"/>
    <col min="12" max="13" width="6.28125" style="17" customWidth="1"/>
    <col min="14" max="14" width="6.421875" style="17" customWidth="1"/>
    <col min="15" max="15" width="6.7109375" style="17" customWidth="1"/>
    <col min="16" max="16" width="8.28125" style="17" customWidth="1"/>
    <col min="17" max="16384" width="9.140625" style="17" customWidth="1"/>
  </cols>
  <sheetData>
    <row r="2" spans="1:21" ht="1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 t="s">
        <v>121</v>
      </c>
      <c r="M2" s="191"/>
      <c r="N2" s="192"/>
      <c r="O2"/>
      <c r="P2"/>
      <c r="Q2"/>
      <c r="R2"/>
      <c r="S2"/>
      <c r="T2"/>
      <c r="U2"/>
    </row>
    <row r="3" spans="1:21" ht="15.75">
      <c r="A3" s="617" t="s">
        <v>122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/>
      <c r="Q3"/>
      <c r="R3"/>
      <c r="S3"/>
      <c r="T3"/>
      <c r="U3"/>
    </row>
    <row r="4" spans="1:21" ht="15">
      <c r="A4"/>
      <c r="B4"/>
      <c r="C4"/>
      <c r="D4"/>
      <c r="E4"/>
      <c r="F4"/>
      <c r="G4"/>
      <c r="H4"/>
      <c r="I4"/>
      <c r="J4"/>
      <c r="K4" s="618" t="s">
        <v>123</v>
      </c>
      <c r="L4" s="618"/>
      <c r="M4" s="618"/>
      <c r="N4" s="618"/>
      <c r="O4"/>
      <c r="P4"/>
      <c r="Q4"/>
      <c r="R4"/>
      <c r="S4"/>
      <c r="T4"/>
      <c r="U4"/>
    </row>
    <row r="5" spans="1:21" ht="15">
      <c r="A5"/>
      <c r="B5"/>
      <c r="C5"/>
      <c r="D5"/>
      <c r="E5" s="193"/>
      <c r="F5" s="194"/>
      <c r="G5" s="194"/>
      <c r="H5" s="195"/>
      <c r="I5" s="195"/>
      <c r="J5"/>
      <c r="K5" s="195"/>
      <c r="L5"/>
      <c r="M5"/>
      <c r="N5"/>
      <c r="O5"/>
      <c r="P5"/>
      <c r="Q5"/>
      <c r="R5"/>
      <c r="S5"/>
      <c r="T5"/>
      <c r="U5"/>
    </row>
    <row r="6" spans="1:21" ht="15">
      <c r="A6" s="619" t="s">
        <v>32</v>
      </c>
      <c r="B6" s="620"/>
      <c r="C6" s="625" t="s">
        <v>124</v>
      </c>
      <c r="D6" s="626"/>
      <c r="E6" s="626"/>
      <c r="F6" s="626"/>
      <c r="G6" s="626"/>
      <c r="H6" s="626"/>
      <c r="I6" s="627"/>
      <c r="J6" s="628" t="s">
        <v>125</v>
      </c>
      <c r="K6" s="629"/>
      <c r="L6" s="630"/>
      <c r="M6" s="628" t="s">
        <v>126</v>
      </c>
      <c r="N6" s="629"/>
      <c r="O6" s="630"/>
      <c r="P6" s="635" t="s">
        <v>127</v>
      </c>
      <c r="Q6"/>
      <c r="R6"/>
      <c r="S6"/>
      <c r="T6"/>
      <c r="U6" s="635" t="s">
        <v>128</v>
      </c>
    </row>
    <row r="7" spans="1:21" ht="15">
      <c r="A7" s="621"/>
      <c r="B7" s="622"/>
      <c r="C7" s="638" t="s">
        <v>87</v>
      </c>
      <c r="D7" s="639"/>
      <c r="E7" s="640" t="s">
        <v>115</v>
      </c>
      <c r="F7" s="639"/>
      <c r="G7" s="640" t="s">
        <v>88</v>
      </c>
      <c r="H7" s="639"/>
      <c r="I7" s="196" t="s">
        <v>129</v>
      </c>
      <c r="J7" s="631"/>
      <c r="K7" s="632"/>
      <c r="L7" s="633"/>
      <c r="M7" s="631"/>
      <c r="N7" s="632"/>
      <c r="O7" s="633"/>
      <c r="P7" s="636"/>
      <c r="Q7"/>
      <c r="R7"/>
      <c r="S7"/>
      <c r="T7"/>
      <c r="U7" s="637"/>
    </row>
    <row r="8" spans="1:21" ht="17.25">
      <c r="A8" s="623"/>
      <c r="B8" s="624"/>
      <c r="C8" s="197" t="s">
        <v>130</v>
      </c>
      <c r="D8" s="197" t="s">
        <v>131</v>
      </c>
      <c r="E8" s="197" t="s">
        <v>130</v>
      </c>
      <c r="F8" s="197" t="s">
        <v>131</v>
      </c>
      <c r="G8" s="197" t="s">
        <v>130</v>
      </c>
      <c r="H8" s="197" t="s">
        <v>131</v>
      </c>
      <c r="I8" s="198" t="s">
        <v>132</v>
      </c>
      <c r="J8" s="199" t="s">
        <v>115</v>
      </c>
      <c r="K8" s="197" t="s">
        <v>88</v>
      </c>
      <c r="L8" s="200" t="s">
        <v>129</v>
      </c>
      <c r="M8" s="199" t="s">
        <v>115</v>
      </c>
      <c r="N8" s="197" t="s">
        <v>88</v>
      </c>
      <c r="O8" s="197" t="s">
        <v>129</v>
      </c>
      <c r="P8" s="201" t="s">
        <v>129</v>
      </c>
      <c r="Q8" s="202" t="s">
        <v>133</v>
      </c>
      <c r="R8" s="202" t="s">
        <v>134</v>
      </c>
      <c r="S8" s="202" t="s">
        <v>135</v>
      </c>
      <c r="T8"/>
      <c r="U8" s="201" t="s">
        <v>129</v>
      </c>
    </row>
    <row r="9" spans="1:21" ht="15">
      <c r="A9" s="196">
        <v>1</v>
      </c>
      <c r="B9" s="203" t="s">
        <v>136</v>
      </c>
      <c r="C9" s="204">
        <v>0</v>
      </c>
      <c r="D9" s="203">
        <v>0</v>
      </c>
      <c r="E9" s="205">
        <f>5571.968-4822.751</f>
        <v>749.2169999999996</v>
      </c>
      <c r="F9" s="205">
        <f aca="true" t="shared" si="0" ref="F9:F24">+R9+E9</f>
        <v>3489.14</v>
      </c>
      <c r="G9" s="205">
        <v>135.921</v>
      </c>
      <c r="H9" s="205">
        <f>+S9+G9</f>
        <v>210.521</v>
      </c>
      <c r="I9" s="206">
        <f>+H9+F9+D9</f>
        <v>3699.661</v>
      </c>
      <c r="J9" s="205">
        <v>4011.9210000000003</v>
      </c>
      <c r="K9" s="205">
        <v>825.554</v>
      </c>
      <c r="L9" s="205">
        <f>SUM(J9:K9)</f>
        <v>4837.475</v>
      </c>
      <c r="M9" s="205">
        <v>1546.8780000000002</v>
      </c>
      <c r="N9" s="205">
        <v>1004.206</v>
      </c>
      <c r="O9" s="205">
        <f>+M9+N9</f>
        <v>2551.0840000000003</v>
      </c>
      <c r="P9" s="207">
        <f>+U9+I9</f>
        <v>27866.642</v>
      </c>
      <c r="Q9"/>
      <c r="R9" s="208">
        <v>2739.9230000000002</v>
      </c>
      <c r="S9" s="208">
        <v>74.6</v>
      </c>
      <c r="T9"/>
      <c r="U9" s="209">
        <v>24166.981</v>
      </c>
    </row>
    <row r="10" spans="1:21" ht="15">
      <c r="A10" s="196">
        <v>2</v>
      </c>
      <c r="B10" s="203" t="s">
        <v>137</v>
      </c>
      <c r="C10" s="203">
        <v>0</v>
      </c>
      <c r="D10" s="203">
        <f aca="true" t="shared" si="1" ref="D10:D24">+Q10+C10</f>
        <v>0</v>
      </c>
      <c r="E10" s="205">
        <f>1996.425-1791.847</f>
        <v>204.57799999999997</v>
      </c>
      <c r="F10" s="205">
        <f t="shared" si="0"/>
        <v>1061.6000000000001</v>
      </c>
      <c r="G10" s="205">
        <f>1891.369-1599.38</f>
        <v>291.9889999999998</v>
      </c>
      <c r="H10" s="205">
        <f aca="true" t="shared" si="2" ref="H10:H24">+S10+G10</f>
        <v>487.24599999999975</v>
      </c>
      <c r="I10" s="206">
        <f aca="true" t="shared" si="3" ref="I10:I24">+H10+F10+D10</f>
        <v>1548.846</v>
      </c>
      <c r="J10" s="205">
        <v>1941.598</v>
      </c>
      <c r="K10" s="205">
        <v>477.692</v>
      </c>
      <c r="L10" s="205">
        <f aca="true" t="shared" si="4" ref="L10:L24">SUM(J10:K10)</f>
        <v>2419.29</v>
      </c>
      <c r="M10" s="205">
        <v>637.7119999999998</v>
      </c>
      <c r="N10" s="205">
        <v>425.644</v>
      </c>
      <c r="O10" s="205">
        <f aca="true" t="shared" si="5" ref="O10:O24">+M10+N10</f>
        <v>1063.3559999999998</v>
      </c>
      <c r="P10" s="207">
        <f aca="true" t="shared" si="6" ref="P10:P25">+U10+I10</f>
        <v>13678.805999999999</v>
      </c>
      <c r="Q10"/>
      <c r="R10" s="208">
        <v>857.0220000000002</v>
      </c>
      <c r="S10" s="208">
        <v>195.25699999999992</v>
      </c>
      <c r="T10"/>
      <c r="U10" s="209">
        <v>12129.96</v>
      </c>
    </row>
    <row r="11" spans="1:21" ht="15">
      <c r="A11" s="196">
        <v>3</v>
      </c>
      <c r="B11" s="203" t="s">
        <v>138</v>
      </c>
      <c r="C11" s="203">
        <v>0</v>
      </c>
      <c r="D11" s="203">
        <f t="shared" si="1"/>
        <v>0</v>
      </c>
      <c r="E11" s="205">
        <f>483.93-300</f>
        <v>183.93</v>
      </c>
      <c r="F11" s="205">
        <f t="shared" si="0"/>
        <v>1028.7259999999999</v>
      </c>
      <c r="G11" s="205">
        <v>54.143</v>
      </c>
      <c r="H11" s="205">
        <f t="shared" si="2"/>
        <v>126.09100000000001</v>
      </c>
      <c r="I11" s="206">
        <f t="shared" si="3"/>
        <v>1154.817</v>
      </c>
      <c r="J11" s="205">
        <v>1721.472</v>
      </c>
      <c r="K11" s="205">
        <v>123.742</v>
      </c>
      <c r="L11" s="205">
        <f t="shared" si="4"/>
        <v>1845.214</v>
      </c>
      <c r="M11" s="205">
        <v>481.3309999999999</v>
      </c>
      <c r="N11" s="205">
        <v>172.864</v>
      </c>
      <c r="O11" s="205">
        <f t="shared" si="5"/>
        <v>654.1949999999999</v>
      </c>
      <c r="P11" s="207">
        <f t="shared" si="6"/>
        <v>10184.163</v>
      </c>
      <c r="Q11"/>
      <c r="R11" s="208">
        <v>844.7959999999999</v>
      </c>
      <c r="S11" s="208">
        <v>71.94800000000001</v>
      </c>
      <c r="T11"/>
      <c r="U11" s="209">
        <v>9029.346</v>
      </c>
    </row>
    <row r="12" spans="1:21" ht="15">
      <c r="A12" s="196">
        <v>4</v>
      </c>
      <c r="B12" s="203" t="s">
        <v>139</v>
      </c>
      <c r="C12" s="203">
        <v>0</v>
      </c>
      <c r="D12" s="203">
        <f t="shared" si="1"/>
        <v>0</v>
      </c>
      <c r="E12" s="210">
        <v>600.343</v>
      </c>
      <c r="F12" s="205">
        <f t="shared" si="0"/>
        <v>2645.2219999999998</v>
      </c>
      <c r="G12" s="205">
        <v>133.655</v>
      </c>
      <c r="H12" s="205">
        <f t="shared" si="2"/>
        <v>660.482</v>
      </c>
      <c r="I12" s="206">
        <f t="shared" si="3"/>
        <v>3305.7039999999997</v>
      </c>
      <c r="J12" s="205">
        <v>4383.1849999999995</v>
      </c>
      <c r="K12" s="211">
        <v>606.4839999999999</v>
      </c>
      <c r="L12" s="205">
        <f t="shared" si="4"/>
        <v>4989.669</v>
      </c>
      <c r="M12" s="205">
        <v>1675.339</v>
      </c>
      <c r="N12" s="211">
        <v>630.295</v>
      </c>
      <c r="O12" s="205">
        <f t="shared" si="5"/>
        <v>2305.634</v>
      </c>
      <c r="P12" s="207">
        <f t="shared" si="6"/>
        <v>31439.222</v>
      </c>
      <c r="Q12"/>
      <c r="R12" s="208">
        <v>2044.879</v>
      </c>
      <c r="S12" s="208">
        <v>526.827</v>
      </c>
      <c r="T12"/>
      <c r="U12" s="209">
        <v>28133.518000000004</v>
      </c>
    </row>
    <row r="13" spans="1:21" ht="15">
      <c r="A13" s="196">
        <v>5</v>
      </c>
      <c r="B13" s="203" t="s">
        <v>140</v>
      </c>
      <c r="C13" s="203">
        <v>0</v>
      </c>
      <c r="D13" s="203">
        <f t="shared" si="1"/>
        <v>0</v>
      </c>
      <c r="E13" s="205">
        <f>337.619-100</f>
        <v>237.61900000000003</v>
      </c>
      <c r="F13" s="205">
        <f t="shared" si="0"/>
        <v>973.9540000000001</v>
      </c>
      <c r="G13" s="205">
        <f>295.049-19.89</f>
        <v>275.159</v>
      </c>
      <c r="H13" s="205">
        <f t="shared" si="2"/>
        <v>283.342</v>
      </c>
      <c r="I13" s="206">
        <f t="shared" si="3"/>
        <v>1257.296</v>
      </c>
      <c r="J13" s="205">
        <v>2435.78</v>
      </c>
      <c r="K13" s="205">
        <v>300.4889999999999</v>
      </c>
      <c r="L13" s="205">
        <f t="shared" si="4"/>
        <v>2736.2690000000002</v>
      </c>
      <c r="M13" s="205">
        <v>449.036</v>
      </c>
      <c r="N13" s="205">
        <v>394.29600000000005</v>
      </c>
      <c r="O13" s="205">
        <f t="shared" si="5"/>
        <v>843.3320000000001</v>
      </c>
      <c r="P13" s="207">
        <f t="shared" si="6"/>
        <v>14383.117000000002</v>
      </c>
      <c r="Q13"/>
      <c r="R13" s="208">
        <v>736.335</v>
      </c>
      <c r="S13" s="208">
        <v>8.183</v>
      </c>
      <c r="T13"/>
      <c r="U13" s="209">
        <v>13125.821000000002</v>
      </c>
    </row>
    <row r="14" spans="1:21" ht="15">
      <c r="A14" s="196">
        <v>6</v>
      </c>
      <c r="B14" s="203" t="s">
        <v>141</v>
      </c>
      <c r="C14" s="203">
        <v>0</v>
      </c>
      <c r="D14" s="203">
        <v>0</v>
      </c>
      <c r="E14" s="205">
        <f>832.571-391.271</f>
        <v>441.3</v>
      </c>
      <c r="F14" s="205">
        <f t="shared" si="0"/>
        <v>1845.947</v>
      </c>
      <c r="G14" s="205">
        <v>529.12</v>
      </c>
      <c r="H14" s="205">
        <f t="shared" si="2"/>
        <v>610.7139999999999</v>
      </c>
      <c r="I14" s="206">
        <f t="shared" si="3"/>
        <v>2456.661</v>
      </c>
      <c r="J14" s="205">
        <v>3994.4370000000004</v>
      </c>
      <c r="K14" s="205">
        <v>530.578</v>
      </c>
      <c r="L14" s="205">
        <f t="shared" si="4"/>
        <v>4525.015</v>
      </c>
      <c r="M14" s="205">
        <v>1000.563</v>
      </c>
      <c r="N14" s="205">
        <v>662.962</v>
      </c>
      <c r="O14" s="205">
        <f t="shared" si="5"/>
        <v>1663.525</v>
      </c>
      <c r="P14" s="207">
        <f t="shared" si="6"/>
        <v>25428.506</v>
      </c>
      <c r="Q14"/>
      <c r="R14" s="208">
        <v>1404.647</v>
      </c>
      <c r="S14" s="208">
        <v>81.594</v>
      </c>
      <c r="T14"/>
      <c r="U14" s="209">
        <v>22971.845</v>
      </c>
    </row>
    <row r="15" spans="1:21" ht="15">
      <c r="A15" s="196">
        <v>7</v>
      </c>
      <c r="B15" s="203" t="s">
        <v>142</v>
      </c>
      <c r="C15" s="203">
        <v>0</v>
      </c>
      <c r="D15" s="203">
        <v>0</v>
      </c>
      <c r="E15" s="205">
        <f>1435.761-862.515</f>
        <v>573.246</v>
      </c>
      <c r="F15" s="205">
        <f t="shared" si="0"/>
        <v>2088.122</v>
      </c>
      <c r="G15" s="205">
        <v>97.57</v>
      </c>
      <c r="H15" s="205">
        <f t="shared" si="2"/>
        <v>227.325</v>
      </c>
      <c r="I15" s="206">
        <f t="shared" si="3"/>
        <v>2315.4469999999997</v>
      </c>
      <c r="J15" s="205">
        <v>4349.878000000001</v>
      </c>
      <c r="K15" s="205">
        <v>207.887</v>
      </c>
      <c r="L15" s="205">
        <f t="shared" si="4"/>
        <v>4557.765</v>
      </c>
      <c r="M15" s="205">
        <v>1665.625</v>
      </c>
      <c r="N15" s="205">
        <v>226.878</v>
      </c>
      <c r="O15" s="205">
        <f t="shared" si="5"/>
        <v>1892.503</v>
      </c>
      <c r="P15" s="207">
        <f t="shared" si="6"/>
        <v>24728.994</v>
      </c>
      <c r="Q15"/>
      <c r="R15" s="208">
        <v>1514.876</v>
      </c>
      <c r="S15" s="208">
        <v>129.755</v>
      </c>
      <c r="T15"/>
      <c r="U15" s="209">
        <v>22413.547</v>
      </c>
    </row>
    <row r="16" spans="1:21" ht="15">
      <c r="A16" s="196">
        <v>8</v>
      </c>
      <c r="B16" s="203" t="s">
        <v>143</v>
      </c>
      <c r="C16" s="203">
        <v>0</v>
      </c>
      <c r="D16" s="203">
        <f t="shared" si="1"/>
        <v>0</v>
      </c>
      <c r="E16" s="205">
        <f>706.184-345</f>
        <v>361.18399999999997</v>
      </c>
      <c r="F16" s="205">
        <f t="shared" si="0"/>
        <v>1699.964</v>
      </c>
      <c r="G16" s="205">
        <v>110.61</v>
      </c>
      <c r="H16" s="205">
        <f t="shared" si="2"/>
        <v>458.56</v>
      </c>
      <c r="I16" s="206">
        <f t="shared" si="3"/>
        <v>2158.524</v>
      </c>
      <c r="J16" s="205">
        <v>3102.593</v>
      </c>
      <c r="K16" s="205">
        <v>456.93600000000004</v>
      </c>
      <c r="L16" s="205">
        <f t="shared" si="4"/>
        <v>3559.529</v>
      </c>
      <c r="M16" s="205">
        <v>1122.4969999999998</v>
      </c>
      <c r="N16" s="205">
        <v>450.648</v>
      </c>
      <c r="O16" s="205">
        <f t="shared" si="5"/>
        <v>1573.145</v>
      </c>
      <c r="P16" s="207">
        <f t="shared" si="6"/>
        <v>20459.97</v>
      </c>
      <c r="Q16"/>
      <c r="R16" s="208">
        <v>1338.78</v>
      </c>
      <c r="S16" s="208">
        <v>347.95</v>
      </c>
      <c r="T16"/>
      <c r="U16" s="209">
        <v>18301.446</v>
      </c>
    </row>
    <row r="17" spans="1:21" ht="15">
      <c r="A17" s="196">
        <v>9</v>
      </c>
      <c r="B17" s="203" t="s">
        <v>144</v>
      </c>
      <c r="C17" s="203">
        <v>0</v>
      </c>
      <c r="D17" s="203">
        <f t="shared" si="1"/>
        <v>0</v>
      </c>
      <c r="E17" s="205">
        <f>3740.254-3101.655</f>
        <v>638.5989999999997</v>
      </c>
      <c r="F17" s="205">
        <f t="shared" si="0"/>
        <v>3446.164</v>
      </c>
      <c r="G17" s="205">
        <f>211.198+462.657</f>
        <v>673.855</v>
      </c>
      <c r="H17" s="205">
        <f t="shared" si="2"/>
        <v>2075.519</v>
      </c>
      <c r="I17" s="206">
        <f t="shared" si="3"/>
        <v>5521.683</v>
      </c>
      <c r="J17" s="205">
        <v>6448.613000000001</v>
      </c>
      <c r="K17" s="205">
        <v>328.17600000000004</v>
      </c>
      <c r="L17" s="205">
        <f t="shared" si="4"/>
        <v>6776.789000000002</v>
      </c>
      <c r="M17" s="205">
        <v>2304.8140000000003</v>
      </c>
      <c r="N17" s="205">
        <v>1952.563</v>
      </c>
      <c r="O17" s="205">
        <f t="shared" si="5"/>
        <v>4257.377</v>
      </c>
      <c r="P17" s="207">
        <f t="shared" si="6"/>
        <v>46899.462</v>
      </c>
      <c r="Q17"/>
      <c r="R17" s="208">
        <v>2807.5650000000005</v>
      </c>
      <c r="S17" s="208">
        <v>1401.6639999999998</v>
      </c>
      <c r="T17"/>
      <c r="U17" s="209">
        <v>41377.779</v>
      </c>
    </row>
    <row r="18" spans="1:21" ht="15">
      <c r="A18" s="196">
        <v>10</v>
      </c>
      <c r="B18" s="203" t="s">
        <v>145</v>
      </c>
      <c r="C18" s="203">
        <v>0</v>
      </c>
      <c r="D18" s="203">
        <f t="shared" si="1"/>
        <v>0</v>
      </c>
      <c r="E18" s="205">
        <f>1035.705-656.425</f>
        <v>379.28</v>
      </c>
      <c r="F18" s="205">
        <f t="shared" si="0"/>
        <v>1034.6640000000002</v>
      </c>
      <c r="G18" s="205">
        <v>0.733</v>
      </c>
      <c r="H18" s="205">
        <f t="shared" si="2"/>
        <v>187.57399999999998</v>
      </c>
      <c r="I18" s="206">
        <f t="shared" si="3"/>
        <v>1222.2380000000003</v>
      </c>
      <c r="J18" s="205">
        <v>1754.9189999999999</v>
      </c>
      <c r="K18" s="205">
        <v>178.107</v>
      </c>
      <c r="L18" s="205">
        <f t="shared" si="4"/>
        <v>1933.0259999999998</v>
      </c>
      <c r="M18" s="205">
        <v>810.1120000000001</v>
      </c>
      <c r="N18" s="205">
        <v>82.98200000000001</v>
      </c>
      <c r="O18" s="205">
        <f t="shared" si="5"/>
        <v>893.094</v>
      </c>
      <c r="P18" s="207">
        <f t="shared" si="6"/>
        <v>8718.802</v>
      </c>
      <c r="Q18"/>
      <c r="R18" s="208">
        <v>655.3840000000002</v>
      </c>
      <c r="S18" s="208">
        <v>186.84099999999998</v>
      </c>
      <c r="T18"/>
      <c r="U18" s="209">
        <v>7496.563999999999</v>
      </c>
    </row>
    <row r="19" spans="1:21" ht="15">
      <c r="A19" s="196">
        <v>11</v>
      </c>
      <c r="B19" s="203" t="s">
        <v>146</v>
      </c>
      <c r="C19" s="203">
        <v>0</v>
      </c>
      <c r="D19" s="203">
        <f t="shared" si="1"/>
        <v>0</v>
      </c>
      <c r="E19" s="205">
        <f>1273.952-62.5</f>
        <v>1211.452</v>
      </c>
      <c r="F19" s="205">
        <f t="shared" si="0"/>
        <v>3071.859</v>
      </c>
      <c r="G19" s="205">
        <v>47.184</v>
      </c>
      <c r="H19" s="205">
        <f t="shared" si="2"/>
        <v>419.967</v>
      </c>
      <c r="I19" s="206">
        <f t="shared" si="3"/>
        <v>3491.826</v>
      </c>
      <c r="J19" s="205">
        <v>4257.344999999999</v>
      </c>
      <c r="K19" s="205">
        <v>406.67</v>
      </c>
      <c r="L19" s="205">
        <f t="shared" si="4"/>
        <v>4664.014999999999</v>
      </c>
      <c r="M19" s="205">
        <v>1356.8890000000001</v>
      </c>
      <c r="N19" s="205">
        <v>802.511</v>
      </c>
      <c r="O19" s="205">
        <f t="shared" si="5"/>
        <v>2159.4</v>
      </c>
      <c r="P19" s="207">
        <f t="shared" si="6"/>
        <v>27152.028000000002</v>
      </c>
      <c r="Q19"/>
      <c r="R19" s="208">
        <v>1860.407</v>
      </c>
      <c r="S19" s="208">
        <v>372.783</v>
      </c>
      <c r="T19"/>
      <c r="U19" s="209">
        <v>23660.202</v>
      </c>
    </row>
    <row r="20" spans="1:21" ht="15">
      <c r="A20" s="196">
        <v>12</v>
      </c>
      <c r="B20" s="203" t="s">
        <v>147</v>
      </c>
      <c r="C20" s="203">
        <v>0</v>
      </c>
      <c r="D20" s="203">
        <f t="shared" si="1"/>
        <v>0</v>
      </c>
      <c r="E20" s="205">
        <f>750.863-243.34</f>
        <v>507.523</v>
      </c>
      <c r="F20" s="205">
        <f t="shared" si="0"/>
        <v>1622.893</v>
      </c>
      <c r="G20" s="205">
        <v>121.494</v>
      </c>
      <c r="H20" s="205">
        <f t="shared" si="2"/>
        <v>329.454</v>
      </c>
      <c r="I20" s="206">
        <f t="shared" si="3"/>
        <v>1952.347</v>
      </c>
      <c r="J20" s="205">
        <v>2704.92</v>
      </c>
      <c r="K20" s="205">
        <v>427.312</v>
      </c>
      <c r="L20" s="205">
        <f t="shared" si="4"/>
        <v>3132.232</v>
      </c>
      <c r="M20" s="205">
        <v>864.185</v>
      </c>
      <c r="N20" s="205">
        <v>175.05800000000002</v>
      </c>
      <c r="O20" s="205">
        <f t="shared" si="5"/>
        <v>1039.243</v>
      </c>
      <c r="P20" s="207">
        <f t="shared" si="6"/>
        <v>16337.351999999999</v>
      </c>
      <c r="Q20"/>
      <c r="R20" s="208">
        <v>1115.37</v>
      </c>
      <c r="S20" s="208">
        <v>207.96</v>
      </c>
      <c r="T20"/>
      <c r="U20" s="209">
        <v>14385.005</v>
      </c>
    </row>
    <row r="21" spans="1:21" ht="15">
      <c r="A21" s="196">
        <v>13</v>
      </c>
      <c r="B21" s="203" t="s">
        <v>148</v>
      </c>
      <c r="C21" s="203">
        <v>0</v>
      </c>
      <c r="D21" s="203">
        <f t="shared" si="1"/>
        <v>0</v>
      </c>
      <c r="E21" s="205">
        <f>4135.107-3105.255</f>
        <v>1029.8519999999999</v>
      </c>
      <c r="F21" s="205">
        <f t="shared" si="0"/>
        <v>2918.6999999999994</v>
      </c>
      <c r="G21" s="205">
        <v>213.307</v>
      </c>
      <c r="H21" s="205">
        <f t="shared" si="2"/>
        <v>476.47300000000007</v>
      </c>
      <c r="I21" s="206">
        <f t="shared" si="3"/>
        <v>3395.1729999999993</v>
      </c>
      <c r="J21" s="205">
        <v>4454.156</v>
      </c>
      <c r="K21" s="205">
        <v>840.024</v>
      </c>
      <c r="L21" s="205">
        <f t="shared" si="4"/>
        <v>5294.18</v>
      </c>
      <c r="M21" s="205">
        <v>1206.5520000000001</v>
      </c>
      <c r="N21" s="205">
        <v>720.0919999999999</v>
      </c>
      <c r="O21" s="205">
        <f t="shared" si="5"/>
        <v>1926.644</v>
      </c>
      <c r="P21" s="207">
        <f t="shared" si="6"/>
        <v>25626.45</v>
      </c>
      <c r="Q21"/>
      <c r="R21" s="208">
        <v>1888.8479999999995</v>
      </c>
      <c r="S21" s="208">
        <v>263.16600000000005</v>
      </c>
      <c r="T21"/>
      <c r="U21" s="209">
        <v>22231.277000000002</v>
      </c>
    </row>
    <row r="22" spans="1:21" ht="15">
      <c r="A22" s="196">
        <v>14</v>
      </c>
      <c r="B22" s="203" t="s">
        <v>149</v>
      </c>
      <c r="C22" s="203">
        <v>0</v>
      </c>
      <c r="D22" s="203">
        <f t="shared" si="1"/>
        <v>0</v>
      </c>
      <c r="E22" s="205">
        <v>859.456</v>
      </c>
      <c r="F22" s="205">
        <f t="shared" si="0"/>
        <v>2326.497</v>
      </c>
      <c r="G22" s="205">
        <v>3.9</v>
      </c>
      <c r="H22" s="205">
        <f t="shared" si="2"/>
        <v>23.426</v>
      </c>
      <c r="I22" s="206">
        <f t="shared" si="3"/>
        <v>2349.923</v>
      </c>
      <c r="J22" s="205">
        <v>3334.314</v>
      </c>
      <c r="K22" s="205">
        <v>233.417</v>
      </c>
      <c r="L22" s="205">
        <f t="shared" si="4"/>
        <v>3567.7309999999998</v>
      </c>
      <c r="M22" s="205">
        <v>1025.717</v>
      </c>
      <c r="N22" s="205">
        <v>409.32</v>
      </c>
      <c r="O22" s="205">
        <f t="shared" si="5"/>
        <v>1435.037</v>
      </c>
      <c r="P22" s="207">
        <f t="shared" si="6"/>
        <v>18882.355</v>
      </c>
      <c r="Q22"/>
      <c r="R22" s="208">
        <v>1467.041</v>
      </c>
      <c r="S22" s="208">
        <v>19.526</v>
      </c>
      <c r="T22"/>
      <c r="U22" s="209">
        <v>16532.432</v>
      </c>
    </row>
    <row r="23" spans="1:21" ht="15">
      <c r="A23" s="196">
        <v>15</v>
      </c>
      <c r="B23" s="203" t="s">
        <v>150</v>
      </c>
      <c r="C23" s="212">
        <v>0</v>
      </c>
      <c r="D23" s="203">
        <f t="shared" si="1"/>
        <v>0</v>
      </c>
      <c r="E23" s="205">
        <f>4217.924-3737.825</f>
        <v>480.09900000000016</v>
      </c>
      <c r="F23" s="205">
        <f t="shared" si="0"/>
        <v>1984.6650000000002</v>
      </c>
      <c r="G23" s="205">
        <v>271.417</v>
      </c>
      <c r="H23" s="205">
        <f t="shared" si="2"/>
        <v>562.222</v>
      </c>
      <c r="I23" s="206">
        <f t="shared" si="3"/>
        <v>2546.887</v>
      </c>
      <c r="J23" s="205">
        <v>3311.2380000000003</v>
      </c>
      <c r="K23" s="205">
        <v>555.5830000000001</v>
      </c>
      <c r="L23" s="205">
        <f t="shared" si="4"/>
        <v>3866.8210000000004</v>
      </c>
      <c r="M23" s="205">
        <v>1037.232</v>
      </c>
      <c r="N23" s="205">
        <v>490.82</v>
      </c>
      <c r="O23" s="205">
        <f t="shared" si="5"/>
        <v>1528.052</v>
      </c>
      <c r="P23" s="207">
        <f t="shared" si="6"/>
        <v>19521.083</v>
      </c>
      <c r="Q23"/>
      <c r="R23" s="208">
        <v>1504.566</v>
      </c>
      <c r="S23" s="208">
        <v>290.805</v>
      </c>
      <c r="T23"/>
      <c r="U23" s="209">
        <v>16974.196</v>
      </c>
    </row>
    <row r="24" spans="1:21" ht="15">
      <c r="A24" s="196">
        <v>16</v>
      </c>
      <c r="B24" s="203" t="s">
        <v>151</v>
      </c>
      <c r="C24" s="191">
        <v>0</v>
      </c>
      <c r="D24" s="203">
        <f t="shared" si="1"/>
        <v>0</v>
      </c>
      <c r="E24" s="205">
        <v>500.713</v>
      </c>
      <c r="F24" s="205">
        <f t="shared" si="0"/>
        <v>2280.4230000000002</v>
      </c>
      <c r="G24" s="205">
        <v>135.293</v>
      </c>
      <c r="H24" s="205">
        <f t="shared" si="2"/>
        <v>655.577</v>
      </c>
      <c r="I24" s="206">
        <f t="shared" si="3"/>
        <v>2936</v>
      </c>
      <c r="J24" s="205">
        <v>4041.6639999999998</v>
      </c>
      <c r="K24" s="205">
        <v>1161.017</v>
      </c>
      <c r="L24" s="205">
        <f t="shared" si="4"/>
        <v>5202.681</v>
      </c>
      <c r="M24" s="205">
        <v>1268.8169999999998</v>
      </c>
      <c r="N24" s="205">
        <v>1005.931</v>
      </c>
      <c r="O24" s="205">
        <f t="shared" si="5"/>
        <v>2274.7479999999996</v>
      </c>
      <c r="P24" s="207">
        <f t="shared" si="6"/>
        <v>29717.187</v>
      </c>
      <c r="Q24"/>
      <c r="R24" s="208">
        <v>1779.71</v>
      </c>
      <c r="S24" s="208">
        <v>520.284</v>
      </c>
      <c r="T24"/>
      <c r="U24" s="209">
        <v>26781.187</v>
      </c>
    </row>
    <row r="25" spans="1:21" ht="15">
      <c r="A25" s="634" t="s">
        <v>77</v>
      </c>
      <c r="B25" s="634"/>
      <c r="C25" s="213">
        <f aca="true" t="shared" si="7" ref="C25:H25">SUM(C9:C24)</f>
        <v>0</v>
      </c>
      <c r="D25" s="213">
        <f t="shared" si="7"/>
        <v>0</v>
      </c>
      <c r="E25" s="214">
        <f>SUM(E9:E24)</f>
        <v>8958.391</v>
      </c>
      <c r="F25" s="214">
        <f t="shared" si="7"/>
        <v>33518.54</v>
      </c>
      <c r="G25" s="214">
        <f>SUM(G9:G24)</f>
        <v>3095.35</v>
      </c>
      <c r="H25" s="214">
        <f t="shared" si="7"/>
        <v>7794.492999999999</v>
      </c>
      <c r="I25" s="214">
        <f>D25+F25+H25</f>
        <v>41313.032999999996</v>
      </c>
      <c r="J25" s="214">
        <f aca="true" t="shared" si="8" ref="J25:O25">SUM(J9:J24)</f>
        <v>56248.032999999996</v>
      </c>
      <c r="K25" s="214">
        <f t="shared" si="8"/>
        <v>7659.668</v>
      </c>
      <c r="L25" s="214">
        <f t="shared" si="8"/>
        <v>63907.701</v>
      </c>
      <c r="M25" s="214">
        <f t="shared" si="8"/>
        <v>18453.298999999995</v>
      </c>
      <c r="N25" s="214">
        <f t="shared" si="8"/>
        <v>9607.07</v>
      </c>
      <c r="O25" s="214">
        <f t="shared" si="8"/>
        <v>28060.369000000002</v>
      </c>
      <c r="P25" s="215">
        <f t="shared" si="6"/>
        <v>361024.139</v>
      </c>
      <c r="Q25" s="192">
        <f>5372.521-2277.171</f>
        <v>3095.35</v>
      </c>
      <c r="R25" s="216">
        <f>SUM(R9:R24)</f>
        <v>24560.148999999998</v>
      </c>
      <c r="S25" s="216">
        <f>SUM(S9:S24)</f>
        <v>4699.142999999999</v>
      </c>
      <c r="T25"/>
      <c r="U25" s="217">
        <v>319711.106</v>
      </c>
    </row>
  </sheetData>
  <sheetProtection/>
  <mergeCells count="12">
    <mergeCell ref="A25:B25"/>
    <mergeCell ref="P6:P7"/>
    <mergeCell ref="U6:U7"/>
    <mergeCell ref="C7:D7"/>
    <mergeCell ref="E7:F7"/>
    <mergeCell ref="G7:H7"/>
    <mergeCell ref="A3:O3"/>
    <mergeCell ref="K4:N4"/>
    <mergeCell ref="A6:B8"/>
    <mergeCell ref="C6:I6"/>
    <mergeCell ref="J6:L7"/>
    <mergeCell ref="M6:O7"/>
  </mergeCells>
  <printOptions/>
  <pageMargins left="0.25" right="0.25" top="0.5" bottom="0.5" header="0.5" footer="0.5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J9" sqref="J9"/>
    </sheetView>
  </sheetViews>
  <sheetFormatPr defaultColWidth="9.140625" defaultRowHeight="12.75"/>
  <cols>
    <col min="1" max="1" width="7.00390625" style="0" customWidth="1"/>
    <col min="2" max="2" width="12.421875" style="0" customWidth="1"/>
    <col min="3" max="3" width="7.140625" style="0" customWidth="1"/>
    <col min="4" max="4" width="7.28125" style="0" customWidth="1"/>
    <col min="5" max="5" width="8.140625" style="0" customWidth="1"/>
    <col min="6" max="7" width="7.57421875" style="0" customWidth="1"/>
    <col min="8" max="8" width="7.421875" style="0" customWidth="1"/>
    <col min="9" max="9" width="9.8515625" style="0" customWidth="1"/>
    <col min="10" max="10" width="7.421875" style="0" customWidth="1"/>
    <col min="11" max="11" width="6.7109375" style="0" customWidth="1"/>
    <col min="12" max="12" width="8.57421875" style="0" customWidth="1"/>
    <col min="13" max="13" width="9.28125" style="0" customWidth="1"/>
    <col min="14" max="14" width="5.421875" style="0" customWidth="1"/>
    <col min="15" max="15" width="8.57421875" style="0" customWidth="1"/>
    <col min="16" max="16" width="9.7109375" style="0" customWidth="1"/>
    <col min="17" max="17" width="6.28125" style="0" customWidth="1"/>
    <col min="18" max="18" width="8.140625" style="0" customWidth="1"/>
    <col min="19" max="19" width="7.00390625" style="0" customWidth="1"/>
  </cols>
  <sheetData>
    <row r="1" ht="15">
      <c r="A1" s="17"/>
    </row>
    <row r="2" spans="1:19" ht="12.75">
      <c r="A2" s="14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1" t="s">
        <v>120</v>
      </c>
      <c r="R2" s="180"/>
      <c r="S2" s="180"/>
    </row>
    <row r="3" spans="1:19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82"/>
    </row>
    <row r="4" spans="1:1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.75">
      <c r="A5" s="601" t="s">
        <v>105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2"/>
    </row>
    <row r="6" spans="1:19" ht="12.75">
      <c r="A6" s="183"/>
      <c r="B6" s="184"/>
      <c r="C6" s="184"/>
      <c r="D6" s="185"/>
      <c r="E6" s="14"/>
      <c r="F6" s="14"/>
      <c r="G6" s="14"/>
      <c r="H6" s="14"/>
      <c r="I6" s="186"/>
      <c r="J6" s="186"/>
      <c r="K6" s="186"/>
      <c r="L6" s="186"/>
      <c r="M6" s="186"/>
      <c r="N6" s="186"/>
      <c r="O6" s="186"/>
      <c r="P6" s="186"/>
      <c r="Q6" s="186"/>
      <c r="R6" s="182"/>
      <c r="S6" s="186"/>
    </row>
    <row r="7" spans="1:19" ht="15.75">
      <c r="A7" s="187"/>
      <c r="B7" s="183"/>
      <c r="C7" s="183"/>
      <c r="D7" s="186"/>
      <c r="E7" s="14"/>
      <c r="F7" s="186"/>
      <c r="G7" s="186"/>
      <c r="H7" s="186"/>
      <c r="I7" s="186"/>
      <c r="J7" s="14"/>
      <c r="K7" s="14"/>
      <c r="L7" s="14"/>
      <c r="M7" s="603" t="s">
        <v>178</v>
      </c>
      <c r="N7" s="604"/>
      <c r="O7" s="604"/>
      <c r="P7" s="604"/>
      <c r="Q7" s="605"/>
      <c r="R7" s="186"/>
      <c r="S7" s="186"/>
    </row>
    <row r="8" spans="1:19" ht="15.75">
      <c r="A8" s="218" t="s">
        <v>177</v>
      </c>
      <c r="B8" s="183"/>
      <c r="C8" s="183"/>
      <c r="D8" s="188"/>
      <c r="E8" s="186"/>
      <c r="F8" s="186"/>
      <c r="G8" s="186"/>
      <c r="H8" s="186"/>
      <c r="I8" s="186"/>
      <c r="J8" s="14"/>
      <c r="K8" s="14"/>
      <c r="L8" s="14"/>
      <c r="M8" s="183"/>
      <c r="N8" s="188"/>
      <c r="O8" s="188"/>
      <c r="P8" s="188"/>
      <c r="Q8" s="188"/>
      <c r="R8" s="186"/>
      <c r="S8" s="186"/>
    </row>
    <row r="9" spans="1:19" ht="12.75">
      <c r="A9" s="187"/>
      <c r="B9" s="183"/>
      <c r="C9" s="183"/>
      <c r="D9" s="189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</row>
    <row r="10" spans="1:19" ht="15.75">
      <c r="A10" s="219" t="s">
        <v>106</v>
      </c>
      <c r="B10" s="183"/>
      <c r="C10" s="183"/>
      <c r="D10" s="189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</row>
    <row r="11" spans="1:19" ht="12.75">
      <c r="A11" s="190"/>
      <c r="B11" s="190"/>
      <c r="C11" s="190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4"/>
      <c r="S11" s="14"/>
    </row>
    <row r="12" spans="1:19" ht="15.75">
      <c r="A12" s="606" t="s">
        <v>31</v>
      </c>
      <c r="B12" s="609" t="s">
        <v>32</v>
      </c>
      <c r="C12" s="612" t="s">
        <v>107</v>
      </c>
      <c r="D12" s="613"/>
      <c r="E12" s="613"/>
      <c r="F12" s="614"/>
      <c r="G12" s="615" t="s">
        <v>108</v>
      </c>
      <c r="H12" s="613"/>
      <c r="I12" s="613"/>
      <c r="J12" s="614"/>
      <c r="K12" s="615" t="s">
        <v>109</v>
      </c>
      <c r="L12" s="613"/>
      <c r="M12" s="613"/>
      <c r="N12" s="613"/>
      <c r="O12" s="616"/>
      <c r="P12" s="220"/>
      <c r="Q12" s="613" t="s">
        <v>110</v>
      </c>
      <c r="R12" s="613"/>
      <c r="S12" s="616"/>
    </row>
    <row r="13" spans="1:19" ht="15.75">
      <c r="A13" s="607"/>
      <c r="B13" s="610"/>
      <c r="C13" s="221" t="s">
        <v>88</v>
      </c>
      <c r="D13" s="221" t="s">
        <v>111</v>
      </c>
      <c r="E13" s="221" t="s">
        <v>36</v>
      </c>
      <c r="F13" s="221" t="s">
        <v>112</v>
      </c>
      <c r="G13" s="222" t="s">
        <v>88</v>
      </c>
      <c r="H13" s="222" t="s">
        <v>113</v>
      </c>
      <c r="I13" s="221" t="s">
        <v>111</v>
      </c>
      <c r="J13" s="221" t="s">
        <v>114</v>
      </c>
      <c r="K13" s="221" t="s">
        <v>88</v>
      </c>
      <c r="L13" s="221" t="s">
        <v>113</v>
      </c>
      <c r="M13" s="221" t="s">
        <v>87</v>
      </c>
      <c r="N13" s="221" t="s">
        <v>115</v>
      </c>
      <c r="O13" s="221" t="s">
        <v>112</v>
      </c>
      <c r="P13" s="221" t="s">
        <v>88</v>
      </c>
      <c r="Q13" s="221" t="s">
        <v>87</v>
      </c>
      <c r="R13" s="221" t="s">
        <v>115</v>
      </c>
      <c r="S13" s="221" t="s">
        <v>116</v>
      </c>
    </row>
    <row r="14" spans="1:19" ht="15.75">
      <c r="A14" s="608"/>
      <c r="B14" s="611"/>
      <c r="C14" s="221"/>
      <c r="D14" s="221"/>
      <c r="E14" s="221"/>
      <c r="F14" s="221" t="s">
        <v>117</v>
      </c>
      <c r="G14" s="223"/>
      <c r="H14" s="223"/>
      <c r="I14" s="223"/>
      <c r="J14" s="223"/>
      <c r="K14" s="223"/>
      <c r="L14" s="223"/>
      <c r="M14" s="224"/>
      <c r="N14" s="225"/>
      <c r="O14" s="226" t="s">
        <v>117</v>
      </c>
      <c r="P14" s="223"/>
      <c r="Q14" s="224"/>
      <c r="R14" s="226"/>
      <c r="S14" s="225" t="s">
        <v>118</v>
      </c>
    </row>
    <row r="15" spans="1:19" ht="15.75">
      <c r="A15" s="227" t="s">
        <v>43</v>
      </c>
      <c r="B15" s="228" t="s">
        <v>44</v>
      </c>
      <c r="C15" s="229">
        <v>0</v>
      </c>
      <c r="D15" s="231">
        <v>5424</v>
      </c>
      <c r="E15" s="290">
        <v>3879</v>
      </c>
      <c r="F15" s="230"/>
      <c r="G15" s="230">
        <v>0</v>
      </c>
      <c r="H15" s="230">
        <v>0.4</v>
      </c>
      <c r="I15" s="230">
        <v>0</v>
      </c>
      <c r="J15" s="231"/>
      <c r="K15" s="230">
        <v>0</v>
      </c>
      <c r="L15" s="230">
        <v>3878.85</v>
      </c>
      <c r="M15" s="230">
        <v>0</v>
      </c>
      <c r="N15" s="230"/>
      <c r="O15" s="230"/>
      <c r="P15" s="230" t="e">
        <f>+K15/C15*100</f>
        <v>#DIV/0!</v>
      </c>
      <c r="Q15" s="230">
        <f>+L15/D15*100</f>
        <v>71.51272123893804</v>
      </c>
      <c r="R15" s="230">
        <f>+M15/E15*100</f>
        <v>0</v>
      </c>
      <c r="S15" s="230"/>
    </row>
    <row r="16" spans="1:19" ht="15.75">
      <c r="A16" s="227" t="s">
        <v>45</v>
      </c>
      <c r="B16" s="232" t="s">
        <v>46</v>
      </c>
      <c r="C16" s="229">
        <v>0</v>
      </c>
      <c r="D16" s="231">
        <v>1926</v>
      </c>
      <c r="E16" s="290">
        <v>0</v>
      </c>
      <c r="F16" s="230"/>
      <c r="G16" s="230">
        <v>0</v>
      </c>
      <c r="H16" s="230">
        <v>0</v>
      </c>
      <c r="I16" s="230">
        <v>0</v>
      </c>
      <c r="J16" s="231"/>
      <c r="K16" s="230">
        <v>0</v>
      </c>
      <c r="L16" s="230">
        <v>0</v>
      </c>
      <c r="M16" s="230">
        <v>0</v>
      </c>
      <c r="N16" s="230"/>
      <c r="O16" s="230"/>
      <c r="P16" s="230"/>
      <c r="Q16" s="230">
        <f aca="true" t="shared" si="0" ref="Q16:Q31">+L16/D16*100</f>
        <v>0</v>
      </c>
      <c r="R16" s="230" t="e">
        <f aca="true" t="shared" si="1" ref="R16:R31">+M16/E16*100</f>
        <v>#DIV/0!</v>
      </c>
      <c r="S16" s="230"/>
    </row>
    <row r="17" spans="1:19" ht="15.75">
      <c r="A17" s="227" t="s">
        <v>47</v>
      </c>
      <c r="B17" s="232" t="s">
        <v>48</v>
      </c>
      <c r="C17" s="229">
        <v>0</v>
      </c>
      <c r="D17" s="231">
        <v>1448</v>
      </c>
      <c r="E17" s="290">
        <v>0</v>
      </c>
      <c r="F17" s="230"/>
      <c r="G17" s="230">
        <v>0</v>
      </c>
      <c r="H17" s="230">
        <v>0</v>
      </c>
      <c r="I17" s="230">
        <v>0</v>
      </c>
      <c r="J17" s="231"/>
      <c r="K17" s="230">
        <v>0</v>
      </c>
      <c r="L17" s="230">
        <v>0</v>
      </c>
      <c r="M17" s="230">
        <v>0</v>
      </c>
      <c r="N17" s="230"/>
      <c r="O17" s="230"/>
      <c r="P17" s="230"/>
      <c r="Q17" s="230">
        <f t="shared" si="0"/>
        <v>0</v>
      </c>
      <c r="R17" s="230" t="e">
        <f t="shared" si="1"/>
        <v>#DIV/0!</v>
      </c>
      <c r="S17" s="230"/>
    </row>
    <row r="18" spans="1:19" ht="15.75">
      <c r="A18" s="227" t="s">
        <v>49</v>
      </c>
      <c r="B18" s="232" t="s">
        <v>50</v>
      </c>
      <c r="C18" s="229">
        <v>0</v>
      </c>
      <c r="D18" s="231">
        <v>4161</v>
      </c>
      <c r="E18" s="290">
        <v>760</v>
      </c>
      <c r="F18" s="230"/>
      <c r="G18" s="230">
        <v>0</v>
      </c>
      <c r="H18" s="230">
        <v>0.085</v>
      </c>
      <c r="I18" s="230">
        <v>0</v>
      </c>
      <c r="J18" s="231"/>
      <c r="K18" s="230">
        <v>0</v>
      </c>
      <c r="L18" s="230">
        <v>759.73</v>
      </c>
      <c r="M18" s="230">
        <v>0</v>
      </c>
      <c r="N18" s="230"/>
      <c r="O18" s="230"/>
      <c r="P18" s="230"/>
      <c r="Q18" s="230">
        <f t="shared" si="0"/>
        <v>18.25835135784667</v>
      </c>
      <c r="R18" s="230">
        <f t="shared" si="1"/>
        <v>0</v>
      </c>
      <c r="S18" s="230"/>
    </row>
    <row r="19" spans="1:19" ht="15.75">
      <c r="A19" s="227" t="s">
        <v>51</v>
      </c>
      <c r="B19" s="232" t="s">
        <v>52</v>
      </c>
      <c r="C19" s="229">
        <v>0</v>
      </c>
      <c r="D19" s="231">
        <v>1456</v>
      </c>
      <c r="E19" s="290">
        <v>773</v>
      </c>
      <c r="F19" s="230"/>
      <c r="G19" s="230">
        <v>0</v>
      </c>
      <c r="H19" s="230">
        <v>0</v>
      </c>
      <c r="I19" s="230">
        <v>0</v>
      </c>
      <c r="J19" s="231"/>
      <c r="K19" s="230">
        <v>0</v>
      </c>
      <c r="L19" s="230">
        <v>772.905</v>
      </c>
      <c r="M19" s="230">
        <v>0</v>
      </c>
      <c r="N19" s="230"/>
      <c r="O19" s="230"/>
      <c r="P19" s="230"/>
      <c r="Q19" s="230">
        <f t="shared" si="0"/>
        <v>53.08413461538461</v>
      </c>
      <c r="R19" s="230">
        <f t="shared" si="1"/>
        <v>0</v>
      </c>
      <c r="S19" s="230"/>
    </row>
    <row r="20" spans="1:19" ht="15.75">
      <c r="A20" s="227" t="s">
        <v>53</v>
      </c>
      <c r="B20" s="232" t="s">
        <v>54</v>
      </c>
      <c r="C20" s="229">
        <v>0</v>
      </c>
      <c r="D20" s="231">
        <v>3447</v>
      </c>
      <c r="E20" s="290">
        <v>2001</v>
      </c>
      <c r="F20" s="230"/>
      <c r="G20" s="230">
        <v>0</v>
      </c>
      <c r="H20" s="230">
        <v>0</v>
      </c>
      <c r="I20" s="230">
        <v>0</v>
      </c>
      <c r="J20" s="231"/>
      <c r="K20" s="230">
        <v>0</v>
      </c>
      <c r="L20" s="230">
        <v>2690.305</v>
      </c>
      <c r="M20" s="230">
        <v>0</v>
      </c>
      <c r="N20" s="230"/>
      <c r="O20" s="230"/>
      <c r="P20" s="230"/>
      <c r="Q20" s="230">
        <f t="shared" si="0"/>
        <v>78.04772265738322</v>
      </c>
      <c r="R20" s="230">
        <f t="shared" si="1"/>
        <v>0</v>
      </c>
      <c r="S20" s="230"/>
    </row>
    <row r="21" spans="1:19" ht="15.75">
      <c r="A21" s="227" t="s">
        <v>55</v>
      </c>
      <c r="B21" s="232" t="s">
        <v>56</v>
      </c>
      <c r="C21" s="229">
        <v>0</v>
      </c>
      <c r="D21" s="231">
        <v>3331</v>
      </c>
      <c r="E21" s="290">
        <v>4466</v>
      </c>
      <c r="F21" s="230"/>
      <c r="G21" s="230">
        <v>0</v>
      </c>
      <c r="H21" s="230">
        <v>0</v>
      </c>
      <c r="I21" s="230">
        <v>0</v>
      </c>
      <c r="J21" s="231"/>
      <c r="K21" s="230">
        <v>0</v>
      </c>
      <c r="L21" s="230">
        <v>6790.31</v>
      </c>
      <c r="M21" s="230">
        <v>0</v>
      </c>
      <c r="N21" s="230"/>
      <c r="O21" s="230"/>
      <c r="P21" s="230"/>
      <c r="Q21" s="230">
        <f t="shared" si="0"/>
        <v>203.85199639747827</v>
      </c>
      <c r="R21" s="230">
        <f t="shared" si="1"/>
        <v>0</v>
      </c>
      <c r="S21" s="230"/>
    </row>
    <row r="22" spans="1:19" ht="15.75">
      <c r="A22" s="227" t="s">
        <v>57</v>
      </c>
      <c r="B22" s="232" t="s">
        <v>58</v>
      </c>
      <c r="C22" s="229">
        <v>0</v>
      </c>
      <c r="D22" s="231">
        <v>2496</v>
      </c>
      <c r="E22" s="290">
        <v>891</v>
      </c>
      <c r="F22" s="230"/>
      <c r="G22" s="230">
        <v>0</v>
      </c>
      <c r="H22" s="230">
        <v>0</v>
      </c>
      <c r="I22" s="230">
        <v>0</v>
      </c>
      <c r="J22" s="231"/>
      <c r="K22" s="230">
        <v>0</v>
      </c>
      <c r="L22" s="230">
        <v>890.97</v>
      </c>
      <c r="M22" s="230">
        <v>0</v>
      </c>
      <c r="N22" s="230"/>
      <c r="O22" s="230"/>
      <c r="P22" s="230"/>
      <c r="Q22" s="230">
        <f t="shared" si="0"/>
        <v>35.69591346153847</v>
      </c>
      <c r="R22" s="230">
        <f t="shared" si="1"/>
        <v>0</v>
      </c>
      <c r="S22" s="230"/>
    </row>
    <row r="23" spans="1:19" ht="15.75">
      <c r="A23" s="227" t="s">
        <v>59</v>
      </c>
      <c r="B23" s="232" t="s">
        <v>60</v>
      </c>
      <c r="C23" s="229">
        <v>0</v>
      </c>
      <c r="D23" s="231">
        <v>6602</v>
      </c>
      <c r="E23" s="290">
        <v>4663</v>
      </c>
      <c r="F23" s="230"/>
      <c r="G23" s="230">
        <v>0</v>
      </c>
      <c r="H23" s="230">
        <v>0</v>
      </c>
      <c r="I23" s="230">
        <v>0</v>
      </c>
      <c r="J23" s="231"/>
      <c r="K23" s="230">
        <v>0</v>
      </c>
      <c r="L23" s="230">
        <v>5253</v>
      </c>
      <c r="M23" s="230">
        <v>0</v>
      </c>
      <c r="N23" s="230"/>
      <c r="O23" s="230"/>
      <c r="P23" s="230"/>
      <c r="Q23" s="230">
        <f t="shared" si="0"/>
        <v>79.56679794001818</v>
      </c>
      <c r="R23" s="230">
        <f t="shared" si="1"/>
        <v>0</v>
      </c>
      <c r="S23" s="230"/>
    </row>
    <row r="24" spans="1:19" ht="15.75">
      <c r="A24" s="227" t="s">
        <v>61</v>
      </c>
      <c r="B24" s="232" t="s">
        <v>62</v>
      </c>
      <c r="C24" s="229">
        <v>0</v>
      </c>
      <c r="D24" s="231">
        <v>2289</v>
      </c>
      <c r="E24" s="290">
        <v>622</v>
      </c>
      <c r="F24" s="230"/>
      <c r="G24" s="230">
        <v>0</v>
      </c>
      <c r="H24" s="230">
        <v>0</v>
      </c>
      <c r="I24" s="230">
        <v>0</v>
      </c>
      <c r="J24" s="231"/>
      <c r="K24" s="230">
        <v>0</v>
      </c>
      <c r="L24" s="230">
        <v>621.86</v>
      </c>
      <c r="M24" s="230">
        <v>0</v>
      </c>
      <c r="N24" s="230"/>
      <c r="O24" s="230"/>
      <c r="P24" s="230"/>
      <c r="Q24" s="230">
        <f t="shared" si="0"/>
        <v>27.167321974661423</v>
      </c>
      <c r="R24" s="230">
        <f t="shared" si="1"/>
        <v>0</v>
      </c>
      <c r="S24" s="230"/>
    </row>
    <row r="25" spans="1:19" ht="15.75">
      <c r="A25" s="227" t="s">
        <v>63</v>
      </c>
      <c r="B25" s="232" t="s">
        <v>64</v>
      </c>
      <c r="C25" s="229">
        <v>0</v>
      </c>
      <c r="D25" s="231">
        <v>2573</v>
      </c>
      <c r="E25" s="290">
        <v>0</v>
      </c>
      <c r="F25" s="230"/>
      <c r="G25" s="230">
        <v>0</v>
      </c>
      <c r="H25" s="230">
        <v>0</v>
      </c>
      <c r="I25" s="230">
        <v>0</v>
      </c>
      <c r="J25" s="231"/>
      <c r="K25" s="230">
        <v>0</v>
      </c>
      <c r="L25" s="230">
        <v>0</v>
      </c>
      <c r="M25" s="230">
        <v>0</v>
      </c>
      <c r="N25" s="230"/>
      <c r="O25" s="230"/>
      <c r="P25" s="230"/>
      <c r="Q25" s="230">
        <f t="shared" si="0"/>
        <v>0</v>
      </c>
      <c r="R25" s="230" t="e">
        <f t="shared" si="1"/>
        <v>#DIV/0!</v>
      </c>
      <c r="S25" s="230"/>
    </row>
    <row r="26" spans="1:19" ht="15.75">
      <c r="A26" s="227" t="s">
        <v>65</v>
      </c>
      <c r="B26" s="232" t="s">
        <v>66</v>
      </c>
      <c r="C26" s="229">
        <v>0</v>
      </c>
      <c r="D26" s="231">
        <v>2403</v>
      </c>
      <c r="E26" s="290">
        <v>0</v>
      </c>
      <c r="F26" s="230"/>
      <c r="G26" s="230">
        <v>0</v>
      </c>
      <c r="H26" s="230">
        <v>0</v>
      </c>
      <c r="I26" s="230">
        <v>0</v>
      </c>
      <c r="J26" s="231"/>
      <c r="K26" s="230">
        <v>0</v>
      </c>
      <c r="L26" s="230">
        <v>0</v>
      </c>
      <c r="M26" s="230">
        <v>0</v>
      </c>
      <c r="N26" s="230"/>
      <c r="O26" s="230"/>
      <c r="P26" s="230"/>
      <c r="Q26" s="230">
        <f t="shared" si="0"/>
        <v>0</v>
      </c>
      <c r="R26" s="230" t="e">
        <f t="shared" si="1"/>
        <v>#DIV/0!</v>
      </c>
      <c r="S26" s="230"/>
    </row>
    <row r="27" spans="1:19" ht="15.75">
      <c r="A27" s="227" t="s">
        <v>67</v>
      </c>
      <c r="B27" s="232" t="s">
        <v>68</v>
      </c>
      <c r="C27" s="229">
        <v>0</v>
      </c>
      <c r="D27" s="231">
        <v>6084</v>
      </c>
      <c r="E27" s="290">
        <v>3340</v>
      </c>
      <c r="F27" s="230"/>
      <c r="G27" s="230">
        <v>0</v>
      </c>
      <c r="H27" s="230">
        <v>0</v>
      </c>
      <c r="I27" s="230">
        <v>0</v>
      </c>
      <c r="J27" s="231"/>
      <c r="K27" s="230">
        <v>0</v>
      </c>
      <c r="L27" s="230">
        <v>3339.82</v>
      </c>
      <c r="M27" s="230">
        <v>0</v>
      </c>
      <c r="N27" s="230"/>
      <c r="O27" s="230"/>
      <c r="P27" s="230"/>
      <c r="Q27" s="230">
        <f t="shared" si="0"/>
        <v>54.895134779750165</v>
      </c>
      <c r="R27" s="230">
        <f t="shared" si="1"/>
        <v>0</v>
      </c>
      <c r="S27" s="230"/>
    </row>
    <row r="28" spans="1:19" ht="15.75">
      <c r="A28" s="227" t="s">
        <v>69</v>
      </c>
      <c r="B28" s="232" t="s">
        <v>70</v>
      </c>
      <c r="C28" s="229">
        <v>0</v>
      </c>
      <c r="D28" s="231">
        <v>2005</v>
      </c>
      <c r="E28" s="290">
        <v>3605</v>
      </c>
      <c r="F28" s="230"/>
      <c r="G28" s="230">
        <v>0</v>
      </c>
      <c r="H28" s="230">
        <v>0</v>
      </c>
      <c r="I28" s="230">
        <v>0</v>
      </c>
      <c r="J28" s="231"/>
      <c r="K28" s="230">
        <v>0</v>
      </c>
      <c r="L28" s="230">
        <v>0</v>
      </c>
      <c r="M28" s="230">
        <v>0</v>
      </c>
      <c r="N28" s="230"/>
      <c r="O28" s="230"/>
      <c r="P28" s="230"/>
      <c r="Q28" s="230">
        <f t="shared" si="0"/>
        <v>0</v>
      </c>
      <c r="R28" s="230">
        <f t="shared" si="1"/>
        <v>0</v>
      </c>
      <c r="S28" s="230"/>
    </row>
    <row r="29" spans="1:19" ht="15.75">
      <c r="A29" s="227" t="s">
        <v>71</v>
      </c>
      <c r="B29" s="232" t="s">
        <v>72</v>
      </c>
      <c r="C29" s="229">
        <v>0</v>
      </c>
      <c r="D29" s="231">
        <v>2087</v>
      </c>
      <c r="E29" s="290">
        <v>0</v>
      </c>
      <c r="F29" s="230"/>
      <c r="G29" s="230">
        <v>0</v>
      </c>
      <c r="H29" s="230">
        <v>0</v>
      </c>
      <c r="I29" s="230">
        <v>0</v>
      </c>
      <c r="J29" s="231"/>
      <c r="K29" s="230">
        <v>0</v>
      </c>
      <c r="L29" s="230">
        <v>0</v>
      </c>
      <c r="M29" s="230">
        <v>0</v>
      </c>
      <c r="N29" s="230"/>
      <c r="O29" s="230"/>
      <c r="P29" s="230"/>
      <c r="Q29" s="230">
        <f t="shared" si="0"/>
        <v>0</v>
      </c>
      <c r="R29" s="230" t="e">
        <f t="shared" si="1"/>
        <v>#DIV/0!</v>
      </c>
      <c r="S29" s="230"/>
    </row>
    <row r="30" spans="1:19" ht="15.75">
      <c r="A30" s="233" t="s">
        <v>73</v>
      </c>
      <c r="B30" s="234" t="s">
        <v>74</v>
      </c>
      <c r="C30" s="229">
        <v>0</v>
      </c>
      <c r="D30" s="231">
        <v>4014</v>
      </c>
      <c r="E30" s="290">
        <v>0</v>
      </c>
      <c r="F30" s="230"/>
      <c r="G30" s="230">
        <v>0</v>
      </c>
      <c r="H30" s="230">
        <v>0</v>
      </c>
      <c r="I30" s="230">
        <v>0</v>
      </c>
      <c r="J30" s="231"/>
      <c r="K30" s="230">
        <v>0</v>
      </c>
      <c r="L30" s="230">
        <v>0</v>
      </c>
      <c r="M30" s="230">
        <v>0</v>
      </c>
      <c r="N30" s="230"/>
      <c r="O30" s="230"/>
      <c r="P30" s="230"/>
      <c r="Q30" s="230">
        <f t="shared" si="0"/>
        <v>0</v>
      </c>
      <c r="R30" s="230" t="e">
        <f t="shared" si="1"/>
        <v>#DIV/0!</v>
      </c>
      <c r="S30" s="230"/>
    </row>
    <row r="31" spans="1:19" s="43" customFormat="1" ht="15.75">
      <c r="A31" s="235" t="s">
        <v>119</v>
      </c>
      <c r="B31" s="236"/>
      <c r="C31" s="237">
        <f>SUM(C15:C30)</f>
        <v>0</v>
      </c>
      <c r="D31" s="288">
        <f>SUM(D15:D30)</f>
        <v>51746</v>
      </c>
      <c r="E31" s="288">
        <f>SUM(E15:E30)</f>
        <v>25000</v>
      </c>
      <c r="F31" s="237">
        <f>+D31/60*41.08+E31</f>
        <v>60428.76133333333</v>
      </c>
      <c r="G31" s="288">
        <f aca="true" t="shared" si="2" ref="G31:N31">SUM(G15:G30)</f>
        <v>0</v>
      </c>
      <c r="H31" s="288">
        <f t="shared" si="2"/>
        <v>0.48500000000000004</v>
      </c>
      <c r="I31" s="288">
        <f t="shared" si="2"/>
        <v>0</v>
      </c>
      <c r="J31" s="288">
        <f t="shared" si="2"/>
        <v>0</v>
      </c>
      <c r="K31" s="288">
        <f t="shared" si="2"/>
        <v>0</v>
      </c>
      <c r="L31" s="288">
        <f t="shared" si="2"/>
        <v>24997.75</v>
      </c>
      <c r="M31" s="288">
        <f t="shared" si="2"/>
        <v>0</v>
      </c>
      <c r="N31" s="288">
        <f t="shared" si="2"/>
        <v>0</v>
      </c>
      <c r="O31" s="230">
        <f>+M31/60*41.08+N31+L31</f>
        <v>24997.75</v>
      </c>
      <c r="P31" s="230" t="e">
        <f>+K31/C31*100</f>
        <v>#DIV/0!</v>
      </c>
      <c r="Q31" s="230">
        <f t="shared" si="0"/>
        <v>48.30856491323001</v>
      </c>
      <c r="R31" s="230">
        <f t="shared" si="1"/>
        <v>0</v>
      </c>
      <c r="S31" s="230"/>
    </row>
  </sheetData>
  <sheetProtection/>
  <mergeCells count="8">
    <mergeCell ref="A5:S5"/>
    <mergeCell ref="M7:Q7"/>
    <mergeCell ref="A12:A14"/>
    <mergeCell ref="B12:B14"/>
    <mergeCell ref="C12:F12"/>
    <mergeCell ref="G12:J12"/>
    <mergeCell ref="K12:O12"/>
    <mergeCell ref="Q12:S12"/>
  </mergeCells>
  <printOptions/>
  <pageMargins left="0.75" right="0.5" top="0.5" bottom="0.5" header="0.5" footer="0.5"/>
  <pageSetup horizontalDpi="600" verticalDpi="600" orientation="landscape" paperSize="5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zoomScale="130" zoomScaleNormal="13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4" sqref="J4"/>
    </sheetView>
  </sheetViews>
  <sheetFormatPr defaultColWidth="9.140625" defaultRowHeight="12.75"/>
  <cols>
    <col min="1" max="1" width="1.421875" style="0" customWidth="1"/>
    <col min="2" max="2" width="10.8515625" style="0" customWidth="1"/>
    <col min="3" max="4" width="15.00390625" style="0" customWidth="1"/>
    <col min="5" max="5" width="14.00390625" style="0" customWidth="1"/>
    <col min="6" max="6" width="14.140625" style="0" customWidth="1"/>
    <col min="7" max="7" width="14.7109375" style="0" customWidth="1"/>
    <col min="8" max="8" width="14.28125" style="0" customWidth="1"/>
    <col min="9" max="9" width="14.00390625" style="0" customWidth="1"/>
    <col min="10" max="10" width="16.57421875" style="0" customWidth="1"/>
    <col min="11" max="11" width="16.140625" style="0" customWidth="1"/>
  </cols>
  <sheetData>
    <row r="1" spans="2:18" ht="19.5">
      <c r="B1" s="2"/>
      <c r="C1" s="2"/>
      <c r="D1" s="3"/>
      <c r="E1" s="3"/>
      <c r="F1" s="3"/>
      <c r="G1" s="2"/>
      <c r="H1" s="326"/>
      <c r="I1" s="326" t="s">
        <v>203</v>
      </c>
      <c r="J1" s="326"/>
      <c r="K1" s="3"/>
      <c r="L1" s="3"/>
      <c r="M1" s="2"/>
      <c r="N1" s="2"/>
      <c r="O1" s="2"/>
      <c r="P1" s="2"/>
      <c r="Q1" s="2"/>
      <c r="R1" s="2"/>
    </row>
    <row r="2" spans="2:18" ht="16.5">
      <c r="B2" s="15" t="s">
        <v>195</v>
      </c>
      <c r="C2" s="4"/>
      <c r="D2" s="328"/>
      <c r="E2" s="328"/>
      <c r="F2" s="328"/>
      <c r="G2" s="2"/>
      <c r="H2" s="2"/>
      <c r="I2" s="423" t="s">
        <v>193</v>
      </c>
      <c r="J2" s="2"/>
      <c r="K2" s="3"/>
      <c r="L2" s="3"/>
      <c r="M2" s="2"/>
      <c r="N2" s="2"/>
      <c r="O2" s="2"/>
      <c r="P2" s="2"/>
      <c r="Q2" s="2"/>
      <c r="R2" s="2"/>
    </row>
    <row r="3" spans="2:18" ht="15.75">
      <c r="B3" s="1"/>
      <c r="C3" s="329"/>
      <c r="D3" s="328"/>
      <c r="E3" s="571" t="s">
        <v>266</v>
      </c>
      <c r="F3" s="571"/>
      <c r="G3" s="571"/>
      <c r="H3" s="571"/>
      <c r="I3" s="571"/>
      <c r="J3" s="571"/>
      <c r="K3" s="571"/>
      <c r="L3" s="3"/>
      <c r="M3" s="6"/>
      <c r="N3" s="306"/>
      <c r="O3" s="306"/>
      <c r="P3" s="2"/>
      <c r="Q3" s="4"/>
      <c r="R3" s="2"/>
    </row>
    <row r="4" spans="2:18" ht="15.75">
      <c r="B4" s="1"/>
      <c r="C4" s="572" t="s">
        <v>204</v>
      </c>
      <c r="D4" s="572"/>
      <c r="E4" s="572"/>
      <c r="F4" s="572"/>
      <c r="G4" s="572" t="s">
        <v>246</v>
      </c>
      <c r="H4" s="572"/>
      <c r="I4" s="572"/>
      <c r="J4" s="359" t="s">
        <v>265</v>
      </c>
      <c r="K4" s="4"/>
      <c r="L4" s="3"/>
      <c r="M4" s="6"/>
      <c r="N4" s="7"/>
      <c r="O4" s="2"/>
      <c r="P4" s="2"/>
      <c r="Q4" s="4"/>
      <c r="R4" s="2"/>
    </row>
    <row r="5" spans="2:11" s="14" customFormat="1" ht="12.75" thickBot="1">
      <c r="B5" s="11"/>
      <c r="C5" s="12"/>
      <c r="D5" s="12"/>
      <c r="E5" s="11"/>
      <c r="F5" s="11"/>
      <c r="G5" s="11"/>
      <c r="H5" s="11"/>
      <c r="I5" s="11"/>
      <c r="J5" s="11"/>
      <c r="K5" s="11"/>
    </row>
    <row r="6" spans="1:11" ht="15.75">
      <c r="A6" s="305"/>
      <c r="B6" s="352" t="s">
        <v>189</v>
      </c>
      <c r="C6" s="353" t="s">
        <v>5</v>
      </c>
      <c r="D6" s="353" t="s">
        <v>7</v>
      </c>
      <c r="E6" s="353" t="s">
        <v>1</v>
      </c>
      <c r="F6" s="353" t="s">
        <v>4</v>
      </c>
      <c r="G6" s="353" t="s">
        <v>3</v>
      </c>
      <c r="H6" s="353" t="s">
        <v>2</v>
      </c>
      <c r="I6" s="353" t="s">
        <v>8</v>
      </c>
      <c r="J6" s="353" t="s">
        <v>6</v>
      </c>
      <c r="K6" s="354" t="s">
        <v>9</v>
      </c>
    </row>
    <row r="7" spans="2:11" ht="15.75">
      <c r="B7" s="335" t="s">
        <v>181</v>
      </c>
      <c r="C7" s="348" t="e">
        <f>SUM(#REF!)</f>
        <v>#REF!</v>
      </c>
      <c r="D7" s="348" t="e">
        <f>SUM(#REF!)</f>
        <v>#REF!</v>
      </c>
      <c r="E7" s="348" t="e">
        <f>SUM(#REF!)</f>
        <v>#REF!</v>
      </c>
      <c r="F7" s="348" t="e">
        <f>SUM(#REF!)</f>
        <v>#REF!</v>
      </c>
      <c r="G7" s="348" t="e">
        <f>SUM(#REF!)</f>
        <v>#REF!</v>
      </c>
      <c r="H7" s="348" t="e">
        <f>SUM(#REF!)</f>
        <v>#REF!</v>
      </c>
      <c r="I7" s="348" t="e">
        <f>SUM(#REF!)</f>
        <v>#REF!</v>
      </c>
      <c r="J7" s="348" t="e">
        <f>SUM(#REF!)</f>
        <v>#REF!</v>
      </c>
      <c r="K7" s="349" t="e">
        <f>SUM(C7:J7)</f>
        <v>#REF!</v>
      </c>
    </row>
    <row r="8" spans="2:11" ht="13.5" customHeight="1">
      <c r="B8" s="335" t="s">
        <v>182</v>
      </c>
      <c r="C8" s="347">
        <v>0</v>
      </c>
      <c r="D8" s="347">
        <v>0</v>
      </c>
      <c r="E8" s="348">
        <v>0</v>
      </c>
      <c r="F8" s="348">
        <v>0</v>
      </c>
      <c r="G8" s="348">
        <v>0</v>
      </c>
      <c r="H8" s="348">
        <v>0</v>
      </c>
      <c r="I8" s="348">
        <v>0</v>
      </c>
      <c r="J8" s="348">
        <v>0</v>
      </c>
      <c r="K8" s="349">
        <f>SUM(C8:J8)</f>
        <v>0</v>
      </c>
    </row>
    <row r="9" spans="2:11" ht="15.75">
      <c r="B9" s="335" t="s">
        <v>187</v>
      </c>
      <c r="C9" s="347">
        <v>0</v>
      </c>
      <c r="D9" s="347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9">
        <f>SUM(C9:J9)</f>
        <v>0</v>
      </c>
    </row>
    <row r="10" spans="2:11" ht="14.25" customHeight="1">
      <c r="B10" s="339" t="s">
        <v>15</v>
      </c>
      <c r="C10" s="355">
        <v>0</v>
      </c>
      <c r="D10" s="355">
        <v>0</v>
      </c>
      <c r="E10" s="356">
        <v>0</v>
      </c>
      <c r="F10" s="356">
        <v>0</v>
      </c>
      <c r="G10" s="356">
        <v>0</v>
      </c>
      <c r="H10" s="356">
        <v>0</v>
      </c>
      <c r="I10" s="356">
        <v>0</v>
      </c>
      <c r="J10" s="356">
        <v>0</v>
      </c>
      <c r="K10" s="357">
        <f>SUM(C10:J10)</f>
        <v>0</v>
      </c>
    </row>
    <row r="11" spans="2:11" ht="16.5" thickBot="1">
      <c r="B11" s="340" t="s">
        <v>183</v>
      </c>
      <c r="C11" s="350" t="e">
        <f aca="true" t="shared" si="0" ref="C11:K11">SUM(C7:C10)</f>
        <v>#REF!</v>
      </c>
      <c r="D11" s="350" t="e">
        <f t="shared" si="0"/>
        <v>#REF!</v>
      </c>
      <c r="E11" s="350" t="e">
        <f t="shared" si="0"/>
        <v>#REF!</v>
      </c>
      <c r="F11" s="350" t="e">
        <f t="shared" si="0"/>
        <v>#REF!</v>
      </c>
      <c r="G11" s="350" t="e">
        <f t="shared" si="0"/>
        <v>#REF!</v>
      </c>
      <c r="H11" s="350" t="e">
        <f t="shared" si="0"/>
        <v>#REF!</v>
      </c>
      <c r="I11" s="350" t="e">
        <f t="shared" si="0"/>
        <v>#REF!</v>
      </c>
      <c r="J11" s="350" t="e">
        <f t="shared" si="0"/>
        <v>#REF!</v>
      </c>
      <c r="K11" s="358" t="e">
        <f t="shared" si="0"/>
        <v>#REF!</v>
      </c>
    </row>
    <row r="12" spans="2:11" ht="13.5" customHeight="1">
      <c r="B12" s="301"/>
      <c r="C12" s="239"/>
      <c r="D12" s="239"/>
      <c r="E12" s="302"/>
      <c r="F12" s="302"/>
      <c r="G12" s="302"/>
      <c r="H12" s="302"/>
      <c r="I12" s="302"/>
      <c r="J12" s="302"/>
      <c r="K12" s="303"/>
    </row>
    <row r="13" spans="2:11" ht="15.75">
      <c r="B13" s="8"/>
      <c r="C13" s="572" t="s">
        <v>205</v>
      </c>
      <c r="D13" s="572"/>
      <c r="E13" s="572"/>
      <c r="F13" s="572"/>
      <c r="G13" s="303"/>
      <c r="H13" s="303"/>
      <c r="I13" s="303"/>
      <c r="J13" s="303"/>
      <c r="K13" s="303"/>
    </row>
    <row r="14" spans="2:11" ht="15" thickBot="1">
      <c r="B14" s="300"/>
      <c r="C14" s="304"/>
      <c r="D14" s="304"/>
      <c r="E14" s="304"/>
      <c r="F14" s="304"/>
      <c r="G14" s="304"/>
      <c r="H14" s="304"/>
      <c r="I14" s="304"/>
      <c r="J14" s="304"/>
      <c r="K14" s="304"/>
    </row>
    <row r="15" spans="2:11" ht="13.5" customHeight="1">
      <c r="B15" s="332" t="s">
        <v>181</v>
      </c>
      <c r="C15" s="345" t="e">
        <f>SUM(C7)+4867</f>
        <v>#REF!</v>
      </c>
      <c r="D15" s="345" t="e">
        <f>SUM(D7)+371</f>
        <v>#REF!</v>
      </c>
      <c r="E15" s="345" t="e">
        <f>SUM(E7)+238.05</f>
        <v>#REF!</v>
      </c>
      <c r="F15" s="345" t="e">
        <f>SUM(F7)+200</f>
        <v>#REF!</v>
      </c>
      <c r="G15" s="345" t="e">
        <f>SUM(G7)+1700</f>
        <v>#REF!</v>
      </c>
      <c r="H15" s="345" t="e">
        <f>SUM(H7)+1942</f>
        <v>#REF!</v>
      </c>
      <c r="I15" s="345" t="e">
        <f>SUM(I7)+70</f>
        <v>#REF!</v>
      </c>
      <c r="J15" s="345" t="e">
        <f>SUM(J7)+1157</f>
        <v>#REF!</v>
      </c>
      <c r="K15" s="346" t="e">
        <f>SUM(C15:J15)</f>
        <v>#REF!</v>
      </c>
    </row>
    <row r="16" spans="2:11" ht="15.75">
      <c r="B16" s="335" t="s">
        <v>182</v>
      </c>
      <c r="C16" s="347">
        <v>0</v>
      </c>
      <c r="D16" s="347">
        <v>0</v>
      </c>
      <c r="E16" s="348">
        <v>0</v>
      </c>
      <c r="F16" s="348">
        <v>0</v>
      </c>
      <c r="G16" s="348">
        <v>0</v>
      </c>
      <c r="H16" s="348">
        <v>0</v>
      </c>
      <c r="I16" s="348">
        <v>0</v>
      </c>
      <c r="J16" s="348">
        <v>0</v>
      </c>
      <c r="K16" s="349">
        <f>SUM(C16:J16)</f>
        <v>0</v>
      </c>
    </row>
    <row r="17" spans="2:11" ht="15.75">
      <c r="B17" s="335" t="s">
        <v>187</v>
      </c>
      <c r="C17" s="347">
        <v>0</v>
      </c>
      <c r="D17" s="347">
        <v>0</v>
      </c>
      <c r="E17" s="348">
        <v>0</v>
      </c>
      <c r="F17" s="348">
        <v>0</v>
      </c>
      <c r="G17" s="348">
        <v>0</v>
      </c>
      <c r="H17" s="348">
        <v>0</v>
      </c>
      <c r="I17" s="348">
        <v>0</v>
      </c>
      <c r="J17" s="348">
        <v>0</v>
      </c>
      <c r="K17" s="349">
        <f>SUM(C17:J17)</f>
        <v>0</v>
      </c>
    </row>
    <row r="18" spans="2:11" ht="15.75">
      <c r="B18" s="339" t="s">
        <v>15</v>
      </c>
      <c r="C18" s="347">
        <v>0</v>
      </c>
      <c r="D18" s="347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9">
        <f>SUM(C18:J18)</f>
        <v>0</v>
      </c>
    </row>
    <row r="19" spans="2:11" ht="16.5" thickBot="1">
      <c r="B19" s="340" t="s">
        <v>183</v>
      </c>
      <c r="C19" s="350" t="e">
        <f aca="true" t="shared" si="1" ref="C19:J19">SUM(C15:C18)</f>
        <v>#REF!</v>
      </c>
      <c r="D19" s="350" t="e">
        <f t="shared" si="1"/>
        <v>#REF!</v>
      </c>
      <c r="E19" s="350" t="e">
        <f t="shared" si="1"/>
        <v>#REF!</v>
      </c>
      <c r="F19" s="350" t="e">
        <f t="shared" si="1"/>
        <v>#REF!</v>
      </c>
      <c r="G19" s="350" t="e">
        <f t="shared" si="1"/>
        <v>#REF!</v>
      </c>
      <c r="H19" s="350" t="e">
        <f t="shared" si="1"/>
        <v>#REF!</v>
      </c>
      <c r="I19" s="350" t="e">
        <f t="shared" si="1"/>
        <v>#REF!</v>
      </c>
      <c r="J19" s="350" t="e">
        <f t="shared" si="1"/>
        <v>#REF!</v>
      </c>
      <c r="K19" s="351" t="e">
        <f>SUM(C19:J19)</f>
        <v>#REF!</v>
      </c>
    </row>
    <row r="20" spans="2:11" ht="12.75" customHeight="1">
      <c r="B20" s="301"/>
      <c r="C20" s="239"/>
      <c r="D20" s="239"/>
      <c r="E20" s="302"/>
      <c r="F20" s="302"/>
      <c r="G20" s="302"/>
      <c r="H20" s="302"/>
      <c r="I20" s="302"/>
      <c r="J20" s="302"/>
      <c r="K20" s="302"/>
    </row>
    <row r="21" spans="2:11" ht="12.75" customHeight="1">
      <c r="B21" s="301"/>
      <c r="C21" s="572" t="s">
        <v>206</v>
      </c>
      <c r="D21" s="572"/>
      <c r="E21" s="572"/>
      <c r="F21" s="572"/>
      <c r="G21" s="302"/>
      <c r="H21" s="302"/>
      <c r="I21" s="302"/>
      <c r="J21" s="302"/>
      <c r="K21" s="302"/>
    </row>
    <row r="22" spans="2:11" ht="12.75" customHeight="1" thickBot="1">
      <c r="B22" s="301"/>
      <c r="C22" s="239"/>
      <c r="D22" s="239"/>
      <c r="E22" s="302"/>
      <c r="F22" s="302"/>
      <c r="G22" s="302"/>
      <c r="H22" s="302"/>
      <c r="I22" s="302"/>
      <c r="J22" s="302"/>
      <c r="K22" s="302"/>
    </row>
    <row r="23" spans="2:11" ht="12.75" customHeight="1">
      <c r="B23" s="332" t="s">
        <v>181</v>
      </c>
      <c r="C23" s="333" t="e">
        <f>SUM(C11*31000)</f>
        <v>#REF!</v>
      </c>
      <c r="D23" s="333" t="e">
        <f aca="true" t="shared" si="2" ref="D23:J23">SUM(D11*31000)</f>
        <v>#REF!</v>
      </c>
      <c r="E23" s="333" t="e">
        <f t="shared" si="2"/>
        <v>#REF!</v>
      </c>
      <c r="F23" s="333" t="e">
        <f t="shared" si="2"/>
        <v>#REF!</v>
      </c>
      <c r="G23" s="333" t="e">
        <f t="shared" si="2"/>
        <v>#REF!</v>
      </c>
      <c r="H23" s="333" t="e">
        <f t="shared" si="2"/>
        <v>#REF!</v>
      </c>
      <c r="I23" s="333" t="e">
        <f t="shared" si="2"/>
        <v>#REF!</v>
      </c>
      <c r="J23" s="333" t="e">
        <f t="shared" si="2"/>
        <v>#REF!</v>
      </c>
      <c r="K23" s="334" t="e">
        <f>SUM(C23:J23)</f>
        <v>#REF!</v>
      </c>
    </row>
    <row r="24" spans="2:11" ht="12" customHeight="1">
      <c r="B24" s="335" t="s">
        <v>182</v>
      </c>
      <c r="C24" s="336">
        <v>0</v>
      </c>
      <c r="D24" s="336">
        <v>0</v>
      </c>
      <c r="E24" s="337">
        <v>0</v>
      </c>
      <c r="F24" s="337">
        <v>0</v>
      </c>
      <c r="G24" s="337">
        <v>0</v>
      </c>
      <c r="H24" s="337">
        <v>0</v>
      </c>
      <c r="I24" s="337">
        <v>0</v>
      </c>
      <c r="J24" s="337">
        <v>0</v>
      </c>
      <c r="K24" s="338">
        <v>0</v>
      </c>
    </row>
    <row r="25" spans="2:11" ht="14.25" customHeight="1">
      <c r="B25" s="335" t="s">
        <v>187</v>
      </c>
      <c r="C25" s="336">
        <v>0</v>
      </c>
      <c r="D25" s="336">
        <v>0</v>
      </c>
      <c r="E25" s="337">
        <v>0</v>
      </c>
      <c r="F25" s="337">
        <v>0</v>
      </c>
      <c r="G25" s="337">
        <v>0</v>
      </c>
      <c r="H25" s="337">
        <v>0</v>
      </c>
      <c r="I25" s="337">
        <v>0</v>
      </c>
      <c r="J25" s="337">
        <v>0</v>
      </c>
      <c r="K25" s="338">
        <v>0</v>
      </c>
    </row>
    <row r="26" spans="2:11" ht="13.5" customHeight="1">
      <c r="B26" s="339" t="s">
        <v>15</v>
      </c>
      <c r="C26" s="336">
        <v>0</v>
      </c>
      <c r="D26" s="336">
        <v>0</v>
      </c>
      <c r="E26" s="337">
        <v>0</v>
      </c>
      <c r="F26" s="337">
        <v>0</v>
      </c>
      <c r="G26" s="337">
        <v>0</v>
      </c>
      <c r="H26" s="337">
        <v>0</v>
      </c>
      <c r="I26" s="337">
        <v>0</v>
      </c>
      <c r="J26" s="337">
        <v>0</v>
      </c>
      <c r="K26" s="338">
        <v>0</v>
      </c>
    </row>
    <row r="27" spans="2:11" ht="13.5" customHeight="1" thickBot="1">
      <c r="B27" s="340" t="s">
        <v>183</v>
      </c>
      <c r="C27" s="341" t="e">
        <f aca="true" t="shared" si="3" ref="C27:J27">SUM(C23:C26)</f>
        <v>#REF!</v>
      </c>
      <c r="D27" s="341" t="e">
        <f t="shared" si="3"/>
        <v>#REF!</v>
      </c>
      <c r="E27" s="341" t="e">
        <f t="shared" si="3"/>
        <v>#REF!</v>
      </c>
      <c r="F27" s="341" t="e">
        <f t="shared" si="3"/>
        <v>#REF!</v>
      </c>
      <c r="G27" s="341" t="e">
        <f t="shared" si="3"/>
        <v>#REF!</v>
      </c>
      <c r="H27" s="341" t="e">
        <f t="shared" si="3"/>
        <v>#REF!</v>
      </c>
      <c r="I27" s="341" t="e">
        <f t="shared" si="3"/>
        <v>#REF!</v>
      </c>
      <c r="J27" s="341" t="e">
        <f t="shared" si="3"/>
        <v>#REF!</v>
      </c>
      <c r="K27" s="342" t="e">
        <f>SUM(C27:J27)</f>
        <v>#REF!</v>
      </c>
    </row>
    <row r="28" spans="2:11" ht="14.25">
      <c r="B28" s="301"/>
      <c r="C28" s="239"/>
      <c r="D28" s="239"/>
      <c r="E28" s="302"/>
      <c r="F28" s="302"/>
      <c r="G28" s="302"/>
      <c r="H28" s="302"/>
      <c r="I28" s="302"/>
      <c r="J28" s="302"/>
      <c r="K28" s="302"/>
    </row>
    <row r="29" spans="2:11" ht="15.75">
      <c r="B29" s="300"/>
      <c r="C29" s="572" t="s">
        <v>207</v>
      </c>
      <c r="D29" s="572"/>
      <c r="E29" s="572"/>
      <c r="F29" s="572"/>
      <c r="G29" s="304"/>
      <c r="H29" s="304"/>
      <c r="I29" s="304"/>
      <c r="J29" s="304"/>
      <c r="K29" s="304"/>
    </row>
    <row r="30" spans="2:11" ht="15" thickBot="1">
      <c r="B30" s="300"/>
      <c r="C30" s="304"/>
      <c r="D30" s="304"/>
      <c r="E30" s="304"/>
      <c r="F30" s="304"/>
      <c r="G30" s="304"/>
      <c r="H30" s="304"/>
      <c r="I30" s="304"/>
      <c r="J30" s="304"/>
      <c r="K30" s="304"/>
    </row>
    <row r="31" spans="2:11" ht="15.75">
      <c r="B31" s="332" t="s">
        <v>181</v>
      </c>
      <c r="C31" s="333" t="e">
        <f>SUM(C19*31000)</f>
        <v>#REF!</v>
      </c>
      <c r="D31" s="333" t="e">
        <f aca="true" t="shared" si="4" ref="D31:J31">SUM(D19*31000)</f>
        <v>#REF!</v>
      </c>
      <c r="E31" s="333" t="e">
        <f t="shared" si="4"/>
        <v>#REF!</v>
      </c>
      <c r="F31" s="333" t="e">
        <f t="shared" si="4"/>
        <v>#REF!</v>
      </c>
      <c r="G31" s="333" t="e">
        <f t="shared" si="4"/>
        <v>#REF!</v>
      </c>
      <c r="H31" s="333" t="e">
        <f t="shared" si="4"/>
        <v>#REF!</v>
      </c>
      <c r="I31" s="333" t="e">
        <f t="shared" si="4"/>
        <v>#REF!</v>
      </c>
      <c r="J31" s="333" t="e">
        <f t="shared" si="4"/>
        <v>#REF!</v>
      </c>
      <c r="K31" s="334" t="e">
        <f>SUM(C31:J31)</f>
        <v>#REF!</v>
      </c>
    </row>
    <row r="32" spans="2:11" ht="15.75">
      <c r="B32" s="335" t="s">
        <v>182</v>
      </c>
      <c r="C32" s="336">
        <v>0</v>
      </c>
      <c r="D32" s="336">
        <v>0</v>
      </c>
      <c r="E32" s="337">
        <v>0</v>
      </c>
      <c r="F32" s="337">
        <v>0</v>
      </c>
      <c r="G32" s="337">
        <v>0</v>
      </c>
      <c r="H32" s="337">
        <v>0</v>
      </c>
      <c r="I32" s="337">
        <v>0</v>
      </c>
      <c r="J32" s="337">
        <v>0</v>
      </c>
      <c r="K32" s="338">
        <f>SUM(C32:J32)</f>
        <v>0</v>
      </c>
    </row>
    <row r="33" spans="2:11" ht="13.5" customHeight="1">
      <c r="B33" s="335" t="s">
        <v>187</v>
      </c>
      <c r="C33" s="336">
        <v>0</v>
      </c>
      <c r="D33" s="336">
        <v>0</v>
      </c>
      <c r="E33" s="337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0</v>
      </c>
      <c r="K33" s="338">
        <f>SUM(C33:J33)</f>
        <v>0</v>
      </c>
    </row>
    <row r="34" spans="2:11" ht="15.75">
      <c r="B34" s="339" t="s">
        <v>15</v>
      </c>
      <c r="C34" s="336">
        <v>0</v>
      </c>
      <c r="D34" s="336">
        <v>0</v>
      </c>
      <c r="E34" s="337">
        <v>0</v>
      </c>
      <c r="F34" s="337">
        <v>0</v>
      </c>
      <c r="G34" s="337">
        <v>0</v>
      </c>
      <c r="H34" s="337">
        <v>0</v>
      </c>
      <c r="I34" s="337">
        <v>0</v>
      </c>
      <c r="J34" s="337">
        <v>0</v>
      </c>
      <c r="K34" s="338">
        <f>SUM(C34:J34)</f>
        <v>0</v>
      </c>
    </row>
    <row r="35" spans="2:11" ht="13.5" customHeight="1" thickBot="1">
      <c r="B35" s="340" t="s">
        <v>183</v>
      </c>
      <c r="C35" s="341" t="e">
        <f aca="true" t="shared" si="5" ref="C35:J35">SUM(C31:C34)</f>
        <v>#REF!</v>
      </c>
      <c r="D35" s="341" t="e">
        <f t="shared" si="5"/>
        <v>#REF!</v>
      </c>
      <c r="E35" s="341" t="e">
        <f t="shared" si="5"/>
        <v>#REF!</v>
      </c>
      <c r="F35" s="341" t="e">
        <f t="shared" si="5"/>
        <v>#REF!</v>
      </c>
      <c r="G35" s="341" t="e">
        <f t="shared" si="5"/>
        <v>#REF!</v>
      </c>
      <c r="H35" s="341" t="e">
        <f t="shared" si="5"/>
        <v>#REF!</v>
      </c>
      <c r="I35" s="341" t="e">
        <f t="shared" si="5"/>
        <v>#REF!</v>
      </c>
      <c r="J35" s="341" t="e">
        <f t="shared" si="5"/>
        <v>#REF!</v>
      </c>
      <c r="K35" s="342" t="e">
        <f>SUM(C35:J35)</f>
        <v>#REF!</v>
      </c>
    </row>
    <row r="36" spans="2:11" ht="12.75" customHeight="1">
      <c r="B36" s="301"/>
      <c r="C36" s="10"/>
      <c r="D36" s="10"/>
      <c r="E36" s="9"/>
      <c r="F36" s="9"/>
      <c r="G36" s="9"/>
      <c r="H36" s="9"/>
      <c r="I36" s="9"/>
      <c r="J36" s="9"/>
      <c r="K36" s="9"/>
    </row>
    <row r="37" spans="2:11" ht="14.25">
      <c r="B37" s="8"/>
      <c r="C37" s="16"/>
      <c r="D37" s="16"/>
      <c r="E37" s="1"/>
      <c r="F37" s="16"/>
      <c r="G37" s="327" t="s">
        <v>20</v>
      </c>
      <c r="H37" s="330"/>
      <c r="I37" s="16"/>
      <c r="J37" s="5" t="s">
        <v>23</v>
      </c>
      <c r="K37" s="1"/>
    </row>
    <row r="38" spans="2:11" ht="14.25">
      <c r="B38" s="301" t="s">
        <v>185</v>
      </c>
      <c r="C38" s="16"/>
      <c r="D38" s="301" t="s">
        <v>208</v>
      </c>
      <c r="E38" s="1"/>
      <c r="F38" s="16"/>
      <c r="G38" s="1" t="s">
        <v>271</v>
      </c>
      <c r="H38" s="1"/>
      <c r="I38" s="16"/>
      <c r="J38" s="1" t="s">
        <v>21</v>
      </c>
      <c r="K38" s="1"/>
    </row>
    <row r="39" spans="2:11" ht="14.25">
      <c r="B39" s="1" t="s">
        <v>186</v>
      </c>
      <c r="C39" s="16"/>
      <c r="D39" s="16"/>
      <c r="E39" s="1"/>
      <c r="F39" s="16"/>
      <c r="G39" s="1" t="s">
        <v>272</v>
      </c>
      <c r="H39" s="1"/>
      <c r="I39" s="16"/>
      <c r="J39" s="1" t="s">
        <v>22</v>
      </c>
      <c r="K39" s="1"/>
    </row>
    <row r="40" spans="2:11" ht="14.25">
      <c r="B40" s="1" t="s">
        <v>184</v>
      </c>
      <c r="C40" s="16"/>
      <c r="D40" s="16"/>
      <c r="E40" s="1"/>
      <c r="F40" s="16"/>
      <c r="G40" s="1" t="s">
        <v>22</v>
      </c>
      <c r="H40" s="1"/>
      <c r="I40" s="16"/>
      <c r="J40" s="1" t="s">
        <v>24</v>
      </c>
      <c r="K40" s="1"/>
    </row>
    <row r="41" spans="2:11" ht="14.25">
      <c r="B41" s="1" t="s">
        <v>190</v>
      </c>
      <c r="C41" s="16"/>
      <c r="D41" s="16"/>
      <c r="E41" s="1"/>
      <c r="F41" s="16"/>
      <c r="G41" s="1" t="s">
        <v>25</v>
      </c>
      <c r="H41" s="1"/>
      <c r="I41" s="1"/>
      <c r="J41" s="1"/>
      <c r="K41" s="1"/>
    </row>
    <row r="42" spans="2:11" ht="14.2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/>
  <mergeCells count="6">
    <mergeCell ref="C29:F29"/>
    <mergeCell ref="G4:I4"/>
    <mergeCell ref="E3:K3"/>
    <mergeCell ref="C4:F4"/>
    <mergeCell ref="C13:F13"/>
    <mergeCell ref="C21:F21"/>
  </mergeCells>
  <printOptions/>
  <pageMargins left="0.75" right="0.5" top="0.25" bottom="0.2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3">
      <selection activeCell="K19" sqref="K19"/>
    </sheetView>
  </sheetViews>
  <sheetFormatPr defaultColWidth="9.140625" defaultRowHeight="12.75"/>
  <cols>
    <col min="1" max="1" width="1.421875" style="0" customWidth="1"/>
    <col min="2" max="2" width="14.140625" style="0" customWidth="1"/>
    <col min="3" max="3" width="12.00390625" style="0" customWidth="1"/>
    <col min="4" max="4" width="13.8515625" style="0" customWidth="1"/>
    <col min="5" max="5" width="11.7109375" style="0" customWidth="1"/>
    <col min="6" max="6" width="13.7109375" style="0" customWidth="1"/>
    <col min="7" max="7" width="11.8515625" style="0" customWidth="1"/>
    <col min="8" max="8" width="12.421875" style="0" customWidth="1"/>
    <col min="9" max="9" width="11.140625" style="0" customWidth="1"/>
    <col min="10" max="10" width="12.7109375" style="0" customWidth="1"/>
    <col min="11" max="11" width="11.8515625" style="0" customWidth="1"/>
    <col min="12" max="12" width="10.57421875" style="0" customWidth="1"/>
    <col min="13" max="13" width="10.421875" style="0" customWidth="1"/>
    <col min="14" max="14" width="10.8515625" style="0" customWidth="1"/>
    <col min="15" max="15" width="10.57421875" style="0" customWidth="1"/>
    <col min="17" max="17" width="11.140625" style="0" customWidth="1"/>
    <col min="18" max="18" width="10.00390625" style="0" customWidth="1"/>
  </cols>
  <sheetData>
    <row r="1" spans="2:14" ht="21.75" customHeight="1">
      <c r="B1" s="570" t="s">
        <v>233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</row>
    <row r="2" spans="2:14" ht="18.75" customHeight="1">
      <c r="B2" s="646" t="s">
        <v>193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2:14" ht="16.5">
      <c r="B3" s="646" t="s">
        <v>247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</row>
    <row r="4" spans="2:13" ht="11.25" customHeight="1">
      <c r="B4" s="385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</row>
    <row r="5" spans="2:13" ht="16.5">
      <c r="B5" s="324" t="s">
        <v>232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2:13" s="13" customFormat="1" ht="12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</row>
    <row r="7" spans="2:13" ht="16.5">
      <c r="B7" s="15" t="s">
        <v>248</v>
      </c>
      <c r="C7" s="384"/>
      <c r="D7" s="384"/>
      <c r="E7" s="325" t="s">
        <v>0</v>
      </c>
      <c r="F7" s="572" t="s">
        <v>188</v>
      </c>
      <c r="G7" s="572"/>
      <c r="H7" s="384"/>
      <c r="I7" s="384"/>
      <c r="J7" s="384"/>
      <c r="K7" s="384"/>
      <c r="L7" s="384"/>
      <c r="M7" s="384"/>
    </row>
    <row r="8" spans="2:13" ht="12.75" customHeight="1">
      <c r="B8" s="386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</row>
    <row r="9" spans="2:10" s="14" customFormat="1" ht="12.75" thickBot="1">
      <c r="B9" s="11"/>
      <c r="C9" s="12"/>
      <c r="D9" s="12"/>
      <c r="E9" s="11"/>
      <c r="F9" s="11"/>
      <c r="G9" s="11"/>
      <c r="H9" s="11"/>
      <c r="I9" s="11"/>
      <c r="J9" s="11"/>
    </row>
    <row r="10" spans="1:17" ht="20.25" customHeight="1">
      <c r="A10" s="305"/>
      <c r="B10" s="648" t="s">
        <v>189</v>
      </c>
      <c r="C10" s="647" t="s">
        <v>216</v>
      </c>
      <c r="D10" s="647"/>
      <c r="E10" s="647" t="s">
        <v>219</v>
      </c>
      <c r="F10" s="647"/>
      <c r="G10" s="647" t="s">
        <v>224</v>
      </c>
      <c r="H10" s="647"/>
      <c r="I10" s="647" t="s">
        <v>222</v>
      </c>
      <c r="J10" s="647"/>
      <c r="K10" s="642" t="s">
        <v>228</v>
      </c>
      <c r="L10" s="642" t="s">
        <v>229</v>
      </c>
      <c r="M10" s="642" t="s">
        <v>230</v>
      </c>
      <c r="N10" s="642" t="s">
        <v>231</v>
      </c>
      <c r="O10" s="644" t="s">
        <v>9</v>
      </c>
      <c r="P10" s="238"/>
      <c r="Q10" s="238"/>
    </row>
    <row r="11" spans="1:17" ht="17.25">
      <c r="A11" s="305"/>
      <c r="B11" s="649"/>
      <c r="C11" s="402" t="s">
        <v>217</v>
      </c>
      <c r="D11" s="402" t="s">
        <v>218</v>
      </c>
      <c r="E11" s="402" t="s">
        <v>217</v>
      </c>
      <c r="F11" s="402" t="s">
        <v>220</v>
      </c>
      <c r="G11" s="402" t="s">
        <v>217</v>
      </c>
      <c r="H11" s="402" t="s">
        <v>221</v>
      </c>
      <c r="I11" s="402" t="s">
        <v>217</v>
      </c>
      <c r="J11" s="402" t="s">
        <v>220</v>
      </c>
      <c r="K11" s="643"/>
      <c r="L11" s="643"/>
      <c r="M11" s="643"/>
      <c r="N11" s="643"/>
      <c r="O11" s="645"/>
      <c r="P11" s="238"/>
      <c r="Q11" s="238"/>
    </row>
    <row r="12" spans="1:17" s="1" customFormat="1" ht="13.5" customHeight="1">
      <c r="A12" s="323"/>
      <c r="B12" s="388">
        <v>1</v>
      </c>
      <c r="C12" s="389">
        <v>2</v>
      </c>
      <c r="D12" s="389">
        <v>3</v>
      </c>
      <c r="E12" s="389">
        <v>4</v>
      </c>
      <c r="F12" s="389">
        <v>5</v>
      </c>
      <c r="G12" s="389">
        <v>6</v>
      </c>
      <c r="H12" s="389">
        <v>7</v>
      </c>
      <c r="I12" s="389">
        <v>8</v>
      </c>
      <c r="J12" s="389">
        <v>9</v>
      </c>
      <c r="K12" s="405">
        <v>10</v>
      </c>
      <c r="L12" s="405">
        <v>11</v>
      </c>
      <c r="M12" s="405">
        <v>12</v>
      </c>
      <c r="N12" s="405">
        <v>13</v>
      </c>
      <c r="O12" s="408">
        <v>14</v>
      </c>
      <c r="P12" s="238"/>
      <c r="Q12" s="238"/>
    </row>
    <row r="13" spans="2:17" ht="18.75" customHeight="1">
      <c r="B13" s="403" t="s">
        <v>5</v>
      </c>
      <c r="C13" s="392" t="e">
        <f>+D13*25</f>
        <v>#REF!</v>
      </c>
      <c r="D13" s="393" t="e">
        <f>SUM(#REF!)</f>
        <v>#REF!</v>
      </c>
      <c r="E13" s="392" t="e">
        <f>+F13*20</f>
        <v>#REF!</v>
      </c>
      <c r="F13" s="393" t="e">
        <f>SUM(#REF!)</f>
        <v>#REF!</v>
      </c>
      <c r="G13" s="392">
        <v>0</v>
      </c>
      <c r="H13" s="393">
        <v>0</v>
      </c>
      <c r="I13" s="392" t="e">
        <f>SUM(G13-E13)</f>
        <v>#REF!</v>
      </c>
      <c r="J13" s="393" t="e">
        <f>SUM(H13-F13)</f>
        <v>#REF!</v>
      </c>
      <c r="K13" s="406"/>
      <c r="L13" s="406"/>
      <c r="M13" s="406"/>
      <c r="N13" s="406"/>
      <c r="O13" s="409"/>
      <c r="P13" s="238"/>
      <c r="Q13" s="238"/>
    </row>
    <row r="14" spans="2:18" ht="18" customHeight="1">
      <c r="B14" s="403" t="s">
        <v>7</v>
      </c>
      <c r="C14" s="392" t="e">
        <f aca="true" t="shared" si="0" ref="C14:C20">+D14*25</f>
        <v>#REF!</v>
      </c>
      <c r="D14" s="394" t="e">
        <f>SUM(#REF!)</f>
        <v>#REF!</v>
      </c>
      <c r="E14" s="392">
        <v>0</v>
      </c>
      <c r="F14" s="393">
        <v>0</v>
      </c>
      <c r="G14" s="392">
        <v>0</v>
      </c>
      <c r="H14" s="393">
        <v>0</v>
      </c>
      <c r="I14" s="392">
        <f aca="true" t="shared" si="1" ref="I14:I22">SUM(G14-E14)</f>
        <v>0</v>
      </c>
      <c r="J14" s="393">
        <f aca="true" t="shared" si="2" ref="J14:J22">SUM(H14-F14)</f>
        <v>0</v>
      </c>
      <c r="K14" s="406"/>
      <c r="L14" s="406"/>
      <c r="M14" s="406"/>
      <c r="N14" s="406"/>
      <c r="O14" s="409"/>
      <c r="P14" s="238"/>
      <c r="Q14" s="415" t="e">
        <f>SUM('Weekly Procurement_16_PADDY'!K20)</f>
        <v>#REF!</v>
      </c>
      <c r="R14" t="e">
        <f>AVERAGE(Q14*39)/60</f>
        <v>#REF!</v>
      </c>
    </row>
    <row r="15" spans="2:18" ht="19.5" customHeight="1">
      <c r="B15" s="403" t="s">
        <v>1</v>
      </c>
      <c r="C15" s="392" t="e">
        <f t="shared" si="0"/>
        <v>#REF!</v>
      </c>
      <c r="D15" s="394" t="e">
        <f>SUM(#REF!)</f>
        <v>#REF!</v>
      </c>
      <c r="E15" s="392" t="e">
        <f aca="true" t="shared" si="3" ref="E15:E20">+F15*20</f>
        <v>#REF!</v>
      </c>
      <c r="F15" s="393" t="e">
        <f>SUM(#REF!)</f>
        <v>#REF!</v>
      </c>
      <c r="G15" s="392">
        <v>0</v>
      </c>
      <c r="H15" s="393">
        <v>0</v>
      </c>
      <c r="I15" s="392">
        <v>0</v>
      </c>
      <c r="J15" s="393">
        <v>0</v>
      </c>
      <c r="K15" s="406"/>
      <c r="L15" s="406"/>
      <c r="M15" s="406"/>
      <c r="N15" s="406"/>
      <c r="O15" s="409"/>
      <c r="P15" s="238"/>
      <c r="Q15" s="238"/>
      <c r="R15" s="416" t="e">
        <f>+R14-H22</f>
        <v>#REF!</v>
      </c>
    </row>
    <row r="16" spans="2:17" ht="18.75" customHeight="1">
      <c r="B16" s="403" t="s">
        <v>4</v>
      </c>
      <c r="C16" s="392">
        <v>0</v>
      </c>
      <c r="D16" s="394" t="e">
        <f>SUM(#REF!)</f>
        <v>#REF!</v>
      </c>
      <c r="E16" s="392">
        <v>0</v>
      </c>
      <c r="F16" s="393">
        <v>0</v>
      </c>
      <c r="G16" s="392" t="e">
        <f>+H16*20</f>
        <v>#REF!</v>
      </c>
      <c r="H16" s="393" t="e">
        <f>AVERAGE(D16*39)/60</f>
        <v>#REF!</v>
      </c>
      <c r="I16" s="392" t="e">
        <f t="shared" si="1"/>
        <v>#REF!</v>
      </c>
      <c r="J16" s="393" t="e">
        <f t="shared" si="2"/>
        <v>#REF!</v>
      </c>
      <c r="K16" s="406"/>
      <c r="L16" s="406"/>
      <c r="M16" s="406"/>
      <c r="N16" s="406"/>
      <c r="O16" s="409"/>
      <c r="P16" s="238"/>
      <c r="Q16" s="238"/>
    </row>
    <row r="17" spans="2:17" ht="19.5" customHeight="1">
      <c r="B17" s="403" t="s">
        <v>3</v>
      </c>
      <c r="C17" s="392">
        <f t="shared" si="0"/>
        <v>0</v>
      </c>
      <c r="D17" s="394">
        <v>0</v>
      </c>
      <c r="E17" s="392">
        <v>0</v>
      </c>
      <c r="F17" s="393">
        <v>0</v>
      </c>
      <c r="G17" s="392">
        <f>+H17*20</f>
        <v>0</v>
      </c>
      <c r="H17" s="393">
        <f>AVERAGE(D17*39)/60</f>
        <v>0</v>
      </c>
      <c r="I17" s="392">
        <f t="shared" si="1"/>
        <v>0</v>
      </c>
      <c r="J17" s="393">
        <f t="shared" si="2"/>
        <v>0</v>
      </c>
      <c r="K17" s="406"/>
      <c r="L17" s="406"/>
      <c r="M17" s="406"/>
      <c r="N17" s="406"/>
      <c r="O17" s="409"/>
      <c r="P17" s="238"/>
      <c r="Q17" s="238"/>
    </row>
    <row r="18" spans="2:17" ht="18.75" customHeight="1">
      <c r="B18" s="403" t="s">
        <v>2</v>
      </c>
      <c r="C18" s="392" t="e">
        <f t="shared" si="0"/>
        <v>#REF!</v>
      </c>
      <c r="D18" s="394" t="e">
        <f>SUM(#REF!)</f>
        <v>#REF!</v>
      </c>
      <c r="E18" s="392">
        <v>0</v>
      </c>
      <c r="F18" s="393">
        <v>0</v>
      </c>
      <c r="G18" s="392">
        <v>0</v>
      </c>
      <c r="H18" s="393">
        <v>0</v>
      </c>
      <c r="I18" s="392">
        <f>SUM(G18-E18)</f>
        <v>0</v>
      </c>
      <c r="J18" s="393">
        <f>SUM(H18-F18)</f>
        <v>0</v>
      </c>
      <c r="K18" s="406"/>
      <c r="L18" s="406"/>
      <c r="M18" s="406"/>
      <c r="N18" s="406"/>
      <c r="O18" s="409"/>
      <c r="P18" s="238"/>
      <c r="Q18" s="238"/>
    </row>
    <row r="19" spans="2:17" ht="19.5" customHeight="1">
      <c r="B19" s="403" t="s">
        <v>8</v>
      </c>
      <c r="C19" s="392" t="e">
        <f t="shared" si="0"/>
        <v>#REF!</v>
      </c>
      <c r="D19" s="394" t="e">
        <f>SUM(#REF!)</f>
        <v>#REF!</v>
      </c>
      <c r="E19" s="392" t="e">
        <f t="shared" si="3"/>
        <v>#REF!</v>
      </c>
      <c r="F19" s="393" t="e">
        <f>SUM(#REF!)</f>
        <v>#REF!</v>
      </c>
      <c r="G19" s="392" t="e">
        <f>+H19*20</f>
        <v>#REF!</v>
      </c>
      <c r="H19" s="393" t="e">
        <f>AVERAGE(D19*39)/60</f>
        <v>#REF!</v>
      </c>
      <c r="I19" s="392" t="e">
        <f t="shared" si="1"/>
        <v>#REF!</v>
      </c>
      <c r="J19" s="393" t="e">
        <f t="shared" si="2"/>
        <v>#REF!</v>
      </c>
      <c r="K19" s="406"/>
      <c r="L19" s="406"/>
      <c r="M19" s="406"/>
      <c r="N19" s="406"/>
      <c r="O19" s="409"/>
      <c r="P19" s="238"/>
      <c r="Q19" s="238"/>
    </row>
    <row r="20" spans="2:17" ht="18.75" customHeight="1">
      <c r="B20" s="403" t="s">
        <v>6</v>
      </c>
      <c r="C20" s="392" t="e">
        <f t="shared" si="0"/>
        <v>#REF!</v>
      </c>
      <c r="D20" s="394" t="e">
        <f>SUM(#REF!)</f>
        <v>#REF!</v>
      </c>
      <c r="E20" s="392" t="e">
        <f t="shared" si="3"/>
        <v>#REF!</v>
      </c>
      <c r="F20" s="393" t="e">
        <f>SUM(#REF!)</f>
        <v>#REF!</v>
      </c>
      <c r="G20" s="392" t="e">
        <f>+H20*20</f>
        <v>#REF!</v>
      </c>
      <c r="H20" s="393" t="e">
        <f>AVERAGE(D20*39)/60</f>
        <v>#REF!</v>
      </c>
      <c r="I20" s="392" t="e">
        <f t="shared" si="1"/>
        <v>#REF!</v>
      </c>
      <c r="J20" s="393" t="e">
        <f t="shared" si="2"/>
        <v>#REF!</v>
      </c>
      <c r="K20" s="406"/>
      <c r="L20" s="406"/>
      <c r="M20" s="406"/>
      <c r="N20" s="406"/>
      <c r="O20" s="409"/>
      <c r="P20" s="238"/>
      <c r="Q20" s="238"/>
    </row>
    <row r="21" spans="2:17" s="387" customFormat="1" ht="18" customHeight="1">
      <c r="B21" s="400" t="s">
        <v>223</v>
      </c>
      <c r="C21" s="395" t="e">
        <f>SUM(C13:C20)</f>
        <v>#REF!</v>
      </c>
      <c r="D21" s="396" t="e">
        <f aca="true" t="shared" si="4" ref="D21:J21">SUM(D13:D20)</f>
        <v>#REF!</v>
      </c>
      <c r="E21" s="395" t="e">
        <f t="shared" si="4"/>
        <v>#REF!</v>
      </c>
      <c r="F21" s="396" t="e">
        <f t="shared" si="4"/>
        <v>#REF!</v>
      </c>
      <c r="G21" s="395" t="e">
        <f t="shared" si="4"/>
        <v>#REF!</v>
      </c>
      <c r="H21" s="396" t="e">
        <f t="shared" si="4"/>
        <v>#REF!</v>
      </c>
      <c r="I21" s="395" t="e">
        <f t="shared" si="4"/>
        <v>#REF!</v>
      </c>
      <c r="J21" s="396" t="e">
        <f t="shared" si="4"/>
        <v>#REF!</v>
      </c>
      <c r="K21" s="407"/>
      <c r="L21" s="407"/>
      <c r="M21" s="407"/>
      <c r="N21" s="407"/>
      <c r="O21" s="410"/>
      <c r="P21" s="404"/>
      <c r="Q21" s="404"/>
    </row>
    <row r="22" spans="2:17" ht="18" customHeight="1">
      <c r="B22" s="400" t="s">
        <v>225</v>
      </c>
      <c r="C22" s="395" t="e">
        <f>SUM(C21)+45450</f>
        <v>#REF!</v>
      </c>
      <c r="D22" s="396" t="e">
        <f>SUM(D21)+1818</f>
        <v>#REF!</v>
      </c>
      <c r="E22" s="395" t="e">
        <f>SUM(E21)+3016</f>
        <v>#REF!</v>
      </c>
      <c r="F22" s="396" t="e">
        <f>SUM(F21)+150.8</f>
        <v>#REF!</v>
      </c>
      <c r="G22" s="395" t="e">
        <f>SUM(G21)+23634</f>
        <v>#REF!</v>
      </c>
      <c r="H22" s="396" t="e">
        <f>SUM(H21)+1118.7</f>
        <v>#REF!</v>
      </c>
      <c r="I22" s="392" t="e">
        <f t="shared" si="1"/>
        <v>#REF!</v>
      </c>
      <c r="J22" s="393" t="e">
        <f t="shared" si="2"/>
        <v>#REF!</v>
      </c>
      <c r="K22" s="406"/>
      <c r="L22" s="406"/>
      <c r="M22" s="406"/>
      <c r="N22" s="406"/>
      <c r="O22" s="409"/>
      <c r="P22" s="238"/>
      <c r="Q22" s="238"/>
    </row>
    <row r="23" spans="2:17" ht="19.5" customHeight="1" thickBot="1">
      <c r="B23" s="401" t="s">
        <v>226</v>
      </c>
      <c r="C23" s="397"/>
      <c r="D23" s="398"/>
      <c r="E23" s="399"/>
      <c r="F23" s="399"/>
      <c r="G23" s="399"/>
      <c r="H23" s="399"/>
      <c r="I23" s="399"/>
      <c r="J23" s="399"/>
      <c r="K23" s="411"/>
      <c r="L23" s="411"/>
      <c r="M23" s="411"/>
      <c r="N23" s="411"/>
      <c r="O23" s="412"/>
      <c r="P23" s="238"/>
      <c r="Q23" s="238"/>
    </row>
    <row r="24" spans="2:10" ht="13.5" customHeight="1">
      <c r="B24" s="374"/>
      <c r="C24" s="375"/>
      <c r="D24" s="375"/>
      <c r="E24" s="376"/>
      <c r="F24" s="376"/>
      <c r="G24" s="376"/>
      <c r="H24" s="376"/>
      <c r="I24" s="376"/>
      <c r="J24" s="376"/>
    </row>
    <row r="25" spans="2:10" ht="12.75" customHeight="1">
      <c r="B25" s="301"/>
      <c r="C25" s="10"/>
      <c r="D25" s="10"/>
      <c r="E25" s="9"/>
      <c r="F25" s="9"/>
      <c r="G25" s="9"/>
      <c r="H25" s="9"/>
      <c r="I25" s="9"/>
      <c r="J25" s="9"/>
    </row>
    <row r="26" spans="2:12" ht="17.25">
      <c r="B26" s="390"/>
      <c r="C26" s="17"/>
      <c r="D26" s="17"/>
      <c r="E26" s="238"/>
      <c r="F26" s="641" t="s">
        <v>20</v>
      </c>
      <c r="G26" s="641"/>
      <c r="J26" s="344"/>
      <c r="K26" s="413" t="s">
        <v>23</v>
      </c>
      <c r="L26" s="413"/>
    </row>
    <row r="27" spans="2:12" ht="17.25">
      <c r="B27" s="391" t="s">
        <v>185</v>
      </c>
      <c r="C27" s="17"/>
      <c r="D27" s="391" t="s">
        <v>208</v>
      </c>
      <c r="E27" s="238"/>
      <c r="F27" s="238" t="s">
        <v>271</v>
      </c>
      <c r="G27" s="238"/>
      <c r="J27" s="331"/>
      <c r="K27" s="238" t="s">
        <v>21</v>
      </c>
      <c r="L27" s="17"/>
    </row>
    <row r="28" spans="2:12" ht="17.25">
      <c r="B28" s="238" t="s">
        <v>186</v>
      </c>
      <c r="C28" s="17"/>
      <c r="D28" s="17"/>
      <c r="E28" s="238"/>
      <c r="F28" s="238" t="s">
        <v>273</v>
      </c>
      <c r="G28" s="238"/>
      <c r="J28" s="331"/>
      <c r="K28" s="238" t="s">
        <v>22</v>
      </c>
      <c r="L28" s="17"/>
    </row>
    <row r="29" spans="2:12" ht="17.25">
      <c r="B29" s="238" t="s">
        <v>227</v>
      </c>
      <c r="C29" s="17"/>
      <c r="D29" s="17"/>
      <c r="E29" s="238"/>
      <c r="F29" s="238" t="s">
        <v>22</v>
      </c>
      <c r="G29" s="238"/>
      <c r="J29" s="331"/>
      <c r="K29" s="238" t="s">
        <v>24</v>
      </c>
      <c r="L29" s="17"/>
    </row>
    <row r="30" spans="2:10" ht="17.25">
      <c r="B30" s="238" t="s">
        <v>190</v>
      </c>
      <c r="C30" s="17"/>
      <c r="D30" s="17"/>
      <c r="E30" s="238"/>
      <c r="F30" s="238" t="s">
        <v>25</v>
      </c>
      <c r="G30" s="238"/>
      <c r="H30" s="238"/>
      <c r="I30" s="238"/>
      <c r="J30" s="1"/>
    </row>
    <row r="31" spans="2:12" ht="17.25">
      <c r="B31" s="238"/>
      <c r="C31" s="383"/>
      <c r="D31" s="383"/>
      <c r="E31" s="383"/>
      <c r="F31" s="383"/>
      <c r="G31" s="383"/>
      <c r="H31" s="383"/>
      <c r="I31" s="383"/>
      <c r="J31" s="323"/>
      <c r="K31" s="305"/>
      <c r="L31" s="305"/>
    </row>
    <row r="32" spans="3:12" ht="17.25">
      <c r="C32" s="305"/>
      <c r="D32" s="414"/>
      <c r="E32" s="382"/>
      <c r="F32" s="414"/>
      <c r="G32" s="382"/>
      <c r="H32" s="414"/>
      <c r="I32" s="382"/>
      <c r="J32" s="414"/>
      <c r="K32" s="382"/>
      <c r="L32" s="305"/>
    </row>
    <row r="33" spans="3:12" ht="12.75">
      <c r="C33" s="305"/>
      <c r="D33" s="305"/>
      <c r="E33" s="305"/>
      <c r="F33" s="305"/>
      <c r="G33" s="305"/>
      <c r="H33" s="305"/>
      <c r="I33" s="305"/>
      <c r="J33" s="305"/>
      <c r="K33" s="305"/>
      <c r="L33" s="305"/>
    </row>
    <row r="34" spans="3:12" ht="12.75">
      <c r="C34" s="305"/>
      <c r="D34" s="305"/>
      <c r="E34" s="305"/>
      <c r="F34" s="305"/>
      <c r="G34" s="305"/>
      <c r="H34" s="305"/>
      <c r="I34" s="305"/>
      <c r="J34" s="305"/>
      <c r="K34" s="305"/>
      <c r="L34" s="305"/>
    </row>
  </sheetData>
  <sheetProtection/>
  <mergeCells count="15">
    <mergeCell ref="O10:O11"/>
    <mergeCell ref="B2:N2"/>
    <mergeCell ref="B3:N3"/>
    <mergeCell ref="F7:G7"/>
    <mergeCell ref="C10:D10"/>
    <mergeCell ref="E10:F10"/>
    <mergeCell ref="G10:H10"/>
    <mergeCell ref="I10:J10"/>
    <mergeCell ref="B10:B11"/>
    <mergeCell ref="F26:G26"/>
    <mergeCell ref="K10:K11"/>
    <mergeCell ref="L10:L11"/>
    <mergeCell ref="B1:N1"/>
    <mergeCell ref="M10:M11"/>
    <mergeCell ref="N10:N11"/>
  </mergeCells>
  <printOptions/>
  <pageMargins left="0.5" right="0.25" top="0.7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R54"/>
  <sheetViews>
    <sheetView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J29" sqref="J29"/>
    </sheetView>
  </sheetViews>
  <sheetFormatPr defaultColWidth="9.140625" defaultRowHeight="12.75"/>
  <cols>
    <col min="1" max="1" width="3.7109375" style="433" customWidth="1"/>
    <col min="2" max="2" width="23.7109375" style="433" customWidth="1"/>
    <col min="3" max="3" width="13.7109375" style="433" customWidth="1"/>
    <col min="4" max="4" width="13.57421875" style="433" customWidth="1"/>
    <col min="5" max="5" width="13.00390625" style="433" customWidth="1"/>
    <col min="6" max="6" width="11.8515625" style="433" customWidth="1"/>
    <col min="7" max="7" width="12.421875" style="433" customWidth="1"/>
    <col min="8" max="8" width="13.140625" style="433" customWidth="1"/>
    <col min="9" max="9" width="13.28125" style="433" customWidth="1"/>
    <col min="10" max="10" width="12.8515625" style="433" customWidth="1"/>
    <col min="11" max="11" width="12.421875" style="433" customWidth="1"/>
    <col min="12" max="12" width="11.8515625" style="433" customWidth="1"/>
    <col min="13" max="13" width="13.140625" style="433" customWidth="1"/>
    <col min="14" max="14" width="12.7109375" style="433" customWidth="1"/>
    <col min="15" max="15" width="13.140625" style="433" customWidth="1"/>
    <col min="16" max="16" width="13.57421875" style="433" customWidth="1"/>
    <col min="17" max="17" width="15.8515625" style="433" customWidth="1"/>
    <col min="18" max="16384" width="9.140625" style="433" customWidth="1"/>
  </cols>
  <sheetData>
    <row r="1" spans="1:16" ht="21.75" customHeight="1">
      <c r="A1" s="432"/>
      <c r="B1" s="432"/>
      <c r="C1" s="432"/>
      <c r="D1" s="432"/>
      <c r="E1" s="540" t="s">
        <v>305</v>
      </c>
      <c r="F1" s="540"/>
      <c r="G1" s="540"/>
      <c r="H1" s="540"/>
      <c r="I1" s="540"/>
      <c r="J1" s="540"/>
      <c r="K1" s="540"/>
      <c r="L1" s="540"/>
      <c r="M1" s="540"/>
      <c r="N1" s="540"/>
      <c r="O1" s="431"/>
      <c r="P1" s="432"/>
    </row>
    <row r="2" spans="1:16" ht="24" customHeight="1" thickBot="1">
      <c r="A2" s="434"/>
      <c r="B2" s="436"/>
      <c r="C2" s="435"/>
      <c r="D2" s="435"/>
      <c r="E2" s="564" t="s">
        <v>311</v>
      </c>
      <c r="F2" s="564"/>
      <c r="G2" s="564"/>
      <c r="H2" s="564"/>
      <c r="I2" s="564"/>
      <c r="J2" s="564"/>
      <c r="K2" s="564"/>
      <c r="L2" s="564"/>
      <c r="M2" s="564"/>
      <c r="N2" s="564"/>
      <c r="O2" s="431"/>
      <c r="P2" s="434"/>
    </row>
    <row r="3" spans="1:18" ht="17.25" customHeight="1">
      <c r="A3" s="556" t="s">
        <v>236</v>
      </c>
      <c r="B3" s="557"/>
      <c r="C3" s="565" t="s">
        <v>298</v>
      </c>
      <c r="D3" s="565"/>
      <c r="E3" s="565" t="s">
        <v>299</v>
      </c>
      <c r="F3" s="565"/>
      <c r="G3" s="545" t="s">
        <v>300</v>
      </c>
      <c r="H3" s="545"/>
      <c r="I3" s="545" t="s">
        <v>301</v>
      </c>
      <c r="J3" s="545"/>
      <c r="K3" s="545" t="s">
        <v>302</v>
      </c>
      <c r="L3" s="545"/>
      <c r="M3" s="545" t="s">
        <v>303</v>
      </c>
      <c r="N3" s="545"/>
      <c r="O3" s="545" t="s">
        <v>9</v>
      </c>
      <c r="P3" s="545"/>
      <c r="Q3" s="526" t="s">
        <v>310</v>
      </c>
      <c r="R3" s="432"/>
    </row>
    <row r="4" spans="1:18" ht="16.5" customHeight="1">
      <c r="A4" s="558"/>
      <c r="B4" s="559"/>
      <c r="C4" s="437" t="s">
        <v>214</v>
      </c>
      <c r="D4" s="437" t="s">
        <v>26</v>
      </c>
      <c r="E4" s="437" t="s">
        <v>214</v>
      </c>
      <c r="F4" s="437" t="s">
        <v>26</v>
      </c>
      <c r="G4" s="437" t="s">
        <v>214</v>
      </c>
      <c r="H4" s="437" t="s">
        <v>26</v>
      </c>
      <c r="I4" s="437" t="s">
        <v>214</v>
      </c>
      <c r="J4" s="437" t="s">
        <v>26</v>
      </c>
      <c r="K4" s="437" t="s">
        <v>214</v>
      </c>
      <c r="L4" s="437" t="s">
        <v>26</v>
      </c>
      <c r="M4" s="437" t="s">
        <v>214</v>
      </c>
      <c r="N4" s="437" t="s">
        <v>26</v>
      </c>
      <c r="O4" s="437" t="s">
        <v>214</v>
      </c>
      <c r="P4" s="437" t="s">
        <v>26</v>
      </c>
      <c r="Q4" s="527"/>
      <c r="R4" s="432"/>
    </row>
    <row r="5" spans="1:18" s="442" customFormat="1" ht="12.75" customHeight="1">
      <c r="A5" s="566">
        <v>1</v>
      </c>
      <c r="B5" s="567"/>
      <c r="C5" s="520">
        <v>2</v>
      </c>
      <c r="D5" s="520">
        <v>3</v>
      </c>
      <c r="E5" s="521">
        <v>4</v>
      </c>
      <c r="F5" s="521">
        <v>5</v>
      </c>
      <c r="G5" s="521">
        <v>6</v>
      </c>
      <c r="H5" s="521">
        <v>7</v>
      </c>
      <c r="I5" s="521">
        <v>8</v>
      </c>
      <c r="J5" s="521">
        <v>9</v>
      </c>
      <c r="K5" s="520">
        <v>10</v>
      </c>
      <c r="L5" s="520">
        <v>11</v>
      </c>
      <c r="M5" s="520">
        <v>12</v>
      </c>
      <c r="N5" s="520">
        <v>13</v>
      </c>
      <c r="O5" s="520">
        <v>14</v>
      </c>
      <c r="P5" s="520">
        <v>15</v>
      </c>
      <c r="Q5" s="527"/>
      <c r="R5" s="432"/>
    </row>
    <row r="6" spans="1:18" s="460" customFormat="1" ht="21" customHeight="1">
      <c r="A6" s="552" t="s">
        <v>234</v>
      </c>
      <c r="B6" s="456" t="s">
        <v>12</v>
      </c>
      <c r="C6" s="463">
        <f>'2019-2020'!O7</f>
        <v>0</v>
      </c>
      <c r="D6" s="463">
        <f>'2019-2020'!P7</f>
        <v>0</v>
      </c>
      <c r="E6" s="465">
        <f>'2019-2020'!E7</f>
        <v>0</v>
      </c>
      <c r="F6" s="465">
        <f>'2019-2020'!F7</f>
        <v>0</v>
      </c>
      <c r="G6" s="465">
        <f>SUM('2019-2020'!S7)</f>
        <v>0</v>
      </c>
      <c r="H6" s="465">
        <f>SUM('2019-2020'!T7)</f>
        <v>0</v>
      </c>
      <c r="I6" s="465">
        <v>0</v>
      </c>
      <c r="J6" s="465">
        <f>SUM('2019-2020'!V7)</f>
        <v>0</v>
      </c>
      <c r="K6" s="463">
        <f>SUM('2019-2020'!W7)</f>
        <v>0</v>
      </c>
      <c r="L6" s="463">
        <f>SUM('2019-2020'!X7)</f>
        <v>0</v>
      </c>
      <c r="M6" s="463">
        <f>SUM('2019-2020'!Y7)</f>
        <v>0</v>
      </c>
      <c r="N6" s="463">
        <f>SUM('2019-2020'!Z7)</f>
        <v>0</v>
      </c>
      <c r="O6" s="463">
        <f>SUM(C6+E6+G6+I6+K6+M6)</f>
        <v>0</v>
      </c>
      <c r="P6" s="463">
        <f>SUM(D6+F6+H6+J6+L6+N6)</f>
        <v>0</v>
      </c>
      <c r="Q6" s="528">
        <f>SUM(O6+P6)</f>
        <v>0</v>
      </c>
      <c r="R6" s="510"/>
    </row>
    <row r="7" spans="1:18" s="509" customFormat="1" ht="21.75" customHeight="1">
      <c r="A7" s="552"/>
      <c r="B7" s="506" t="s">
        <v>267</v>
      </c>
      <c r="C7" s="463">
        <f>'2019-2020'!O8</f>
        <v>1039.269</v>
      </c>
      <c r="D7" s="463">
        <f>'2019-2020'!P8</f>
        <v>771.51</v>
      </c>
      <c r="E7" s="463">
        <f>'2019-2020'!Q8</f>
        <v>1003.938</v>
      </c>
      <c r="F7" s="465">
        <f>'2019-2020'!F8</f>
        <v>764.479</v>
      </c>
      <c r="G7" s="465">
        <f>SUM('2019-2020'!S8)</f>
        <v>1032.334</v>
      </c>
      <c r="H7" s="465">
        <f>SUM('2019-2020'!T8)</f>
        <v>746.373</v>
      </c>
      <c r="I7" s="465">
        <v>0</v>
      </c>
      <c r="J7" s="465">
        <f>SUM('2019-2020'!V8)</f>
        <v>787.935</v>
      </c>
      <c r="K7" s="463">
        <f>SUM('2019-2020'!W8)</f>
        <v>960.44</v>
      </c>
      <c r="L7" s="463">
        <f>SUM('2019-2020'!X8)</f>
        <v>727.96</v>
      </c>
      <c r="M7" s="463">
        <f>SUM('2019-2020'!Y8)</f>
        <v>1072.015</v>
      </c>
      <c r="N7" s="463">
        <f>SUM('2019-2020'!Z8)</f>
        <v>779.197</v>
      </c>
      <c r="O7" s="507">
        <f aca="true" t="shared" si="0" ref="O7:O17">SUM(C7+E7+G7+I7+K7+M7)</f>
        <v>5107.996</v>
      </c>
      <c r="P7" s="507">
        <f aca="true" t="shared" si="1" ref="P7:Q18">SUM(D7+F7+H7+J7+L7+N7)</f>
        <v>4577.454</v>
      </c>
      <c r="Q7" s="528">
        <f aca="true" t="shared" si="2" ref="Q7:Q37">SUM(O7+P7)</f>
        <v>9685.45</v>
      </c>
      <c r="R7" s="511"/>
    </row>
    <row r="8" spans="1:18" s="509" customFormat="1" ht="21.75" customHeight="1">
      <c r="A8" s="552"/>
      <c r="B8" s="506" t="s">
        <v>268</v>
      </c>
      <c r="C8" s="463">
        <f>'2019-2020'!O9</f>
        <v>226.3</v>
      </c>
      <c r="D8" s="463">
        <f>'2019-2020'!P9</f>
        <v>32.2</v>
      </c>
      <c r="E8" s="465">
        <f>'2019-2020'!E9</f>
        <v>158.163</v>
      </c>
      <c r="F8" s="465">
        <f>'2019-2020'!F9</f>
        <v>22.2</v>
      </c>
      <c r="G8" s="465">
        <f>SUM('2019-2020'!S9)</f>
        <v>214.6</v>
      </c>
      <c r="H8" s="465">
        <f>SUM('2019-2020'!T9)</f>
        <v>33.55</v>
      </c>
      <c r="I8" s="465">
        <v>0</v>
      </c>
      <c r="J8" s="465">
        <f>SUM('2019-2020'!V9)</f>
        <v>28.382</v>
      </c>
      <c r="K8" s="463">
        <f>SUM('2019-2020'!W9)</f>
        <v>234.811</v>
      </c>
      <c r="L8" s="463">
        <f>SUM('2019-2020'!X9)</f>
        <v>37.082</v>
      </c>
      <c r="M8" s="463">
        <f>SUM('2019-2020'!Y9)</f>
        <v>204.7</v>
      </c>
      <c r="N8" s="463">
        <f>SUM('2019-2020'!Z9)</f>
        <v>26.55</v>
      </c>
      <c r="O8" s="507">
        <f t="shared" si="0"/>
        <v>1038.574</v>
      </c>
      <c r="P8" s="507">
        <f t="shared" si="1"/>
        <v>179.96400000000003</v>
      </c>
      <c r="Q8" s="528">
        <f t="shared" si="2"/>
        <v>1218.538</v>
      </c>
      <c r="R8" s="511"/>
    </row>
    <row r="9" spans="1:18" s="460" customFormat="1" ht="19.5" customHeight="1">
      <c r="A9" s="552"/>
      <c r="B9" s="456" t="s">
        <v>13</v>
      </c>
      <c r="C9" s="463">
        <f>'2019-2020'!O10</f>
        <v>0</v>
      </c>
      <c r="D9" s="463">
        <f>'2019-2020'!P10</f>
        <v>0</v>
      </c>
      <c r="E9" s="465">
        <f>'2019-2020'!E10</f>
        <v>0</v>
      </c>
      <c r="F9" s="465">
        <f>'2019-2020'!F10</f>
        <v>0</v>
      </c>
      <c r="G9" s="465">
        <f>SUM('2019-2020'!S10)</f>
        <v>0</v>
      </c>
      <c r="H9" s="465">
        <f>SUM('2019-2020'!T10)</f>
        <v>0</v>
      </c>
      <c r="I9" s="465">
        <v>0</v>
      </c>
      <c r="J9" s="465">
        <f>SUM('2019-2020'!V10)</f>
        <v>0</v>
      </c>
      <c r="K9" s="463">
        <f>SUM('2019-2020'!W10)</f>
        <v>0</v>
      </c>
      <c r="L9" s="463">
        <f>SUM('2019-2020'!X10)</f>
        <v>0</v>
      </c>
      <c r="M9" s="463">
        <f>SUM('2019-2020'!Y10)</f>
        <v>0</v>
      </c>
      <c r="N9" s="463">
        <f>SUM('2019-2020'!Z10)</f>
        <v>0</v>
      </c>
      <c r="O9" s="463">
        <f t="shared" si="0"/>
        <v>0</v>
      </c>
      <c r="P9" s="463">
        <f t="shared" si="1"/>
        <v>0</v>
      </c>
      <c r="Q9" s="528">
        <f t="shared" si="2"/>
        <v>0</v>
      </c>
      <c r="R9" s="510"/>
    </row>
    <row r="10" spans="1:18" s="505" customFormat="1" ht="21.75" customHeight="1">
      <c r="A10" s="552"/>
      <c r="B10" s="502" t="s">
        <v>192</v>
      </c>
      <c r="C10" s="463">
        <f>'2019-2020'!O11</f>
        <v>0.5</v>
      </c>
      <c r="D10" s="463">
        <f>'2019-2020'!P11</f>
        <v>1732</v>
      </c>
      <c r="E10" s="465">
        <f>'2019-2020'!E11</f>
        <v>0</v>
      </c>
      <c r="F10" s="465">
        <f>'2019-2020'!F11</f>
        <v>1581.277</v>
      </c>
      <c r="G10" s="465">
        <f>SUM('2019-2020'!S11)</f>
        <v>56</v>
      </c>
      <c r="H10" s="465">
        <f>SUM('2019-2020'!T11)</f>
        <v>1611</v>
      </c>
      <c r="I10" s="465">
        <v>0</v>
      </c>
      <c r="J10" s="465">
        <f>SUM('2019-2020'!V11)</f>
        <v>657</v>
      </c>
      <c r="K10" s="463">
        <f>SUM('2019-2020'!W11)</f>
        <v>3580.38</v>
      </c>
      <c r="L10" s="463">
        <f>SUM('2019-2020'!X11)</f>
        <v>602</v>
      </c>
      <c r="M10" s="463">
        <f>SUM('2019-2020'!Y11)</f>
        <v>5236.435</v>
      </c>
      <c r="N10" s="463">
        <f>SUM('2019-2020'!Z11)</f>
        <v>1607.894</v>
      </c>
      <c r="O10" s="503">
        <f t="shared" si="0"/>
        <v>8873.315</v>
      </c>
      <c r="P10" s="503">
        <f t="shared" si="1"/>
        <v>7791.171</v>
      </c>
      <c r="Q10" s="528">
        <f t="shared" si="2"/>
        <v>16664.486</v>
      </c>
      <c r="R10" s="512"/>
    </row>
    <row r="11" spans="1:18" s="460" customFormat="1" ht="19.5" customHeight="1">
      <c r="A11" s="552"/>
      <c r="B11" s="456" t="s">
        <v>196</v>
      </c>
      <c r="C11" s="463">
        <f>'2019-2020'!O12</f>
        <v>0</v>
      </c>
      <c r="D11" s="463">
        <f>'2019-2020'!P12</f>
        <v>0</v>
      </c>
      <c r="E11" s="465">
        <f>'2019-2020'!E12</f>
        <v>0</v>
      </c>
      <c r="F11" s="465">
        <f>'2019-2020'!F12</f>
        <v>0</v>
      </c>
      <c r="G11" s="465">
        <f>SUM('2019-2020'!S12)</f>
        <v>0</v>
      </c>
      <c r="H11" s="465">
        <f>SUM('2019-2020'!T12)</f>
        <v>0</v>
      </c>
      <c r="I11" s="465">
        <v>0</v>
      </c>
      <c r="J11" s="465">
        <f>SUM('2019-2020'!V12)</f>
        <v>0</v>
      </c>
      <c r="K11" s="463">
        <f>SUM('2019-2020'!W12)</f>
        <v>0</v>
      </c>
      <c r="L11" s="463">
        <f>SUM('2019-2020'!X12)</f>
        <v>0</v>
      </c>
      <c r="M11" s="463">
        <f>SUM('2019-2020'!Y12)</f>
        <v>0</v>
      </c>
      <c r="N11" s="463">
        <f>SUM('2019-2020'!Z12)</f>
        <v>0</v>
      </c>
      <c r="O11" s="463">
        <f t="shared" si="0"/>
        <v>0</v>
      </c>
      <c r="P11" s="463">
        <f t="shared" si="1"/>
        <v>0</v>
      </c>
      <c r="Q11" s="528">
        <f t="shared" si="2"/>
        <v>0</v>
      </c>
      <c r="R11" s="510"/>
    </row>
    <row r="12" spans="1:18" s="460" customFormat="1" ht="20.25" customHeight="1">
      <c r="A12" s="552"/>
      <c r="B12" s="456" t="s">
        <v>14</v>
      </c>
      <c r="C12" s="463">
        <f>'2019-2020'!O13</f>
        <v>0</v>
      </c>
      <c r="D12" s="463">
        <f>'2019-2020'!P13</f>
        <v>0</v>
      </c>
      <c r="E12" s="465">
        <f>'2019-2020'!E13</f>
        <v>0</v>
      </c>
      <c r="F12" s="465">
        <f>'2019-2020'!F13</f>
        <v>0</v>
      </c>
      <c r="G12" s="465">
        <f>SUM('2019-2020'!S13)</f>
        <v>0</v>
      </c>
      <c r="H12" s="465">
        <f>SUM('2019-2020'!T13)</f>
        <v>0</v>
      </c>
      <c r="I12" s="465">
        <v>0</v>
      </c>
      <c r="J12" s="465">
        <f>SUM('2019-2020'!V13)</f>
        <v>0</v>
      </c>
      <c r="K12" s="463">
        <f>SUM('2019-2020'!W13)</f>
        <v>0</v>
      </c>
      <c r="L12" s="463">
        <f>SUM('2019-2020'!X13)</f>
        <v>0</v>
      </c>
      <c r="M12" s="463">
        <f>SUM('2019-2020'!Y13)</f>
        <v>0</v>
      </c>
      <c r="N12" s="463">
        <f>SUM('2019-2020'!Z13)</f>
        <v>0</v>
      </c>
      <c r="O12" s="463">
        <f t="shared" si="0"/>
        <v>0</v>
      </c>
      <c r="P12" s="463">
        <f t="shared" si="1"/>
        <v>0</v>
      </c>
      <c r="Q12" s="528">
        <f t="shared" si="2"/>
        <v>0</v>
      </c>
      <c r="R12" s="510"/>
    </row>
    <row r="13" spans="1:18" s="460" customFormat="1" ht="25.5" customHeight="1">
      <c r="A13" s="552"/>
      <c r="B13" s="456" t="s">
        <v>245</v>
      </c>
      <c r="C13" s="463">
        <f>'2019-2020'!O14</f>
        <v>0</v>
      </c>
      <c r="D13" s="463">
        <f>'2019-2020'!P14</f>
        <v>0</v>
      </c>
      <c r="E13" s="465">
        <f>'2019-2020'!E14</f>
        <v>0</v>
      </c>
      <c r="F13" s="465">
        <f>'2019-2020'!F14</f>
        <v>0</v>
      </c>
      <c r="G13" s="465">
        <f>SUM('2019-2020'!S14)</f>
        <v>0</v>
      </c>
      <c r="H13" s="465">
        <f>SUM('2019-2020'!T14)</f>
        <v>0</v>
      </c>
      <c r="I13" s="465">
        <v>0</v>
      </c>
      <c r="J13" s="465">
        <f>SUM('2019-2020'!V14)</f>
        <v>0</v>
      </c>
      <c r="K13" s="463">
        <f>SUM('2019-2020'!W14)</f>
        <v>0</v>
      </c>
      <c r="L13" s="463">
        <f>SUM('2019-2020'!X14)</f>
        <v>0</v>
      </c>
      <c r="M13" s="463">
        <f>SUM('2019-2020'!Y14)</f>
        <v>0</v>
      </c>
      <c r="N13" s="463">
        <f>SUM('2019-2020'!Z14)</f>
        <v>0</v>
      </c>
      <c r="O13" s="463">
        <f t="shared" si="0"/>
        <v>0</v>
      </c>
      <c r="P13" s="463">
        <f t="shared" si="1"/>
        <v>0</v>
      </c>
      <c r="Q13" s="528">
        <f t="shared" si="2"/>
        <v>0</v>
      </c>
      <c r="R13" s="510"/>
    </row>
    <row r="14" spans="1:18" s="501" customFormat="1" ht="20.25" customHeight="1">
      <c r="A14" s="552"/>
      <c r="B14" s="498" t="s">
        <v>282</v>
      </c>
      <c r="C14" s="463">
        <f>'2019-2020'!O15</f>
        <v>0</v>
      </c>
      <c r="D14" s="463">
        <f>'2019-2020'!P15</f>
        <v>0</v>
      </c>
      <c r="E14" s="465">
        <f>'2019-2020'!E15</f>
        <v>0</v>
      </c>
      <c r="F14" s="465">
        <f>'2019-2020'!F15</f>
        <v>0</v>
      </c>
      <c r="G14" s="465">
        <f>SUM('2019-2020'!S15)</f>
        <v>23190.367</v>
      </c>
      <c r="H14" s="465">
        <f>SUM('2019-2020'!T15)</f>
        <v>0</v>
      </c>
      <c r="I14" s="465">
        <v>0</v>
      </c>
      <c r="J14" s="465">
        <f>SUM('2019-2020'!V15)</f>
        <v>0</v>
      </c>
      <c r="K14" s="463">
        <f>SUM('2019-2020'!W15)</f>
        <v>23074.91</v>
      </c>
      <c r="L14" s="463">
        <f>SUM('2019-2020'!X15)</f>
        <v>0</v>
      </c>
      <c r="M14" s="463">
        <f>SUM('2019-2020'!Y15)</f>
        <v>0</v>
      </c>
      <c r="N14" s="463">
        <f>SUM('2019-2020'!Z15)</f>
        <v>0</v>
      </c>
      <c r="O14" s="499">
        <f t="shared" si="0"/>
        <v>46265.277</v>
      </c>
      <c r="P14" s="499">
        <f t="shared" si="1"/>
        <v>0</v>
      </c>
      <c r="Q14" s="528">
        <f t="shared" si="2"/>
        <v>46265.277</v>
      </c>
      <c r="R14" s="513"/>
    </row>
    <row r="15" spans="1:18" s="460" customFormat="1" ht="18.75" customHeight="1">
      <c r="A15" s="552"/>
      <c r="B15" s="456" t="s">
        <v>289</v>
      </c>
      <c r="C15" s="463">
        <f>'2019-2020'!O16</f>
        <v>0</v>
      </c>
      <c r="D15" s="463">
        <f>'2019-2020'!P16</f>
        <v>0</v>
      </c>
      <c r="E15" s="465">
        <f>'2019-2020'!E16</f>
        <v>0</v>
      </c>
      <c r="F15" s="465">
        <f>'2019-2020'!F16</f>
        <v>0</v>
      </c>
      <c r="G15" s="465">
        <f>SUM('2019-2020'!S16)</f>
        <v>0</v>
      </c>
      <c r="H15" s="465">
        <f>SUM('2019-2020'!T16)</f>
        <v>0</v>
      </c>
      <c r="I15" s="465">
        <v>0</v>
      </c>
      <c r="J15" s="465">
        <f>SUM('2019-2020'!V16)</f>
        <v>0</v>
      </c>
      <c r="K15" s="463">
        <f>SUM('2019-2020'!W16)</f>
        <v>0</v>
      </c>
      <c r="L15" s="463">
        <f>SUM('2019-2020'!X16)</f>
        <v>0</v>
      </c>
      <c r="M15" s="463">
        <f>SUM('2019-2020'!Y16)</f>
        <v>0</v>
      </c>
      <c r="N15" s="463">
        <f>SUM('2019-2020'!Z16)</f>
        <v>0</v>
      </c>
      <c r="O15" s="463">
        <f t="shared" si="0"/>
        <v>0</v>
      </c>
      <c r="P15" s="463">
        <f t="shared" si="1"/>
        <v>0</v>
      </c>
      <c r="Q15" s="528">
        <f t="shared" si="2"/>
        <v>0</v>
      </c>
      <c r="R15" s="510"/>
    </row>
    <row r="16" spans="1:18" s="460" customFormat="1" ht="21" customHeight="1">
      <c r="A16" s="552"/>
      <c r="B16" s="456" t="s">
        <v>197</v>
      </c>
      <c r="C16" s="463">
        <f>'2019-2020'!O17</f>
        <v>4.4</v>
      </c>
      <c r="D16" s="463">
        <f>'2019-2020'!P17</f>
        <v>1.9</v>
      </c>
      <c r="E16" s="465">
        <f>'2019-2020'!E17</f>
        <v>4.4</v>
      </c>
      <c r="F16" s="465">
        <f>'2019-2020'!F17</f>
        <v>4</v>
      </c>
      <c r="G16" s="465">
        <f>SUM('2019-2020'!S17)</f>
        <v>5.75</v>
      </c>
      <c r="H16" s="465">
        <f>SUM('2019-2020'!T17)</f>
        <v>1.4</v>
      </c>
      <c r="I16" s="465">
        <v>0</v>
      </c>
      <c r="J16" s="465">
        <f>SUM('2019-2020'!V17)</f>
        <v>6.2</v>
      </c>
      <c r="K16" s="463">
        <f>SUM('2019-2020'!W17)</f>
        <v>4.1</v>
      </c>
      <c r="L16" s="463">
        <f>SUM('2019-2020'!X17)</f>
        <v>3.7</v>
      </c>
      <c r="M16" s="463">
        <f>SUM('2019-2020'!Y17)</f>
        <v>9.1</v>
      </c>
      <c r="N16" s="463">
        <f>SUM('2019-2020'!Z17)</f>
        <v>8.2</v>
      </c>
      <c r="O16" s="463">
        <f t="shared" si="0"/>
        <v>27.75</v>
      </c>
      <c r="P16" s="463">
        <f t="shared" si="1"/>
        <v>25.4</v>
      </c>
      <c r="Q16" s="528">
        <f t="shared" si="2"/>
        <v>53.15</v>
      </c>
      <c r="R16" s="510"/>
    </row>
    <row r="17" spans="1:18" s="460" customFormat="1" ht="18.75" customHeight="1">
      <c r="A17" s="552"/>
      <c r="B17" s="456" t="s">
        <v>15</v>
      </c>
      <c r="C17" s="463">
        <f>'2019-2020'!O18</f>
        <v>0</v>
      </c>
      <c r="D17" s="463">
        <f>'2019-2020'!P18</f>
        <v>0</v>
      </c>
      <c r="E17" s="465">
        <f>'2019-2020'!E18</f>
        <v>0</v>
      </c>
      <c r="F17" s="465">
        <f>'2019-2020'!F18</f>
        <v>0</v>
      </c>
      <c r="G17" s="465">
        <f>SUM('2019-2020'!S18)</f>
        <v>0</v>
      </c>
      <c r="H17" s="465">
        <f>SUM('2019-2020'!T18)</f>
        <v>0</v>
      </c>
      <c r="I17" s="465">
        <v>0</v>
      </c>
      <c r="J17" s="465">
        <f>SUM('2019-2020'!V18)</f>
        <v>0</v>
      </c>
      <c r="K17" s="463">
        <f>SUM('2019-2020'!W18)</f>
        <v>0</v>
      </c>
      <c r="L17" s="463">
        <f>SUM('2019-2020'!X18)</f>
        <v>0</v>
      </c>
      <c r="M17" s="463">
        <f>SUM('2019-2020'!Y18)</f>
        <v>0</v>
      </c>
      <c r="N17" s="463">
        <f>SUM('2019-2020'!Z18)</f>
        <v>0</v>
      </c>
      <c r="O17" s="463">
        <f t="shared" si="0"/>
        <v>0</v>
      </c>
      <c r="P17" s="463">
        <f t="shared" si="1"/>
        <v>0</v>
      </c>
      <c r="Q17" s="528">
        <f t="shared" si="2"/>
        <v>0</v>
      </c>
      <c r="R17" s="510"/>
    </row>
    <row r="18" spans="1:18" s="469" customFormat="1" ht="22.5" customHeight="1">
      <c r="A18" s="552"/>
      <c r="B18" s="456" t="s">
        <v>237</v>
      </c>
      <c r="C18" s="465">
        <f aca="true" t="shared" si="3" ref="C18:O18">SUM(C6:C17)</f>
        <v>1270.469</v>
      </c>
      <c r="D18" s="465">
        <f t="shared" si="3"/>
        <v>2537.61</v>
      </c>
      <c r="E18" s="465">
        <f t="shared" si="3"/>
        <v>1166.5010000000002</v>
      </c>
      <c r="F18" s="465">
        <f t="shared" si="3"/>
        <v>2371.956</v>
      </c>
      <c r="G18" s="465">
        <f t="shared" si="3"/>
        <v>24499.051</v>
      </c>
      <c r="H18" s="483">
        <f t="shared" si="3"/>
        <v>2392.323</v>
      </c>
      <c r="I18" s="465">
        <f t="shared" si="3"/>
        <v>0</v>
      </c>
      <c r="J18" s="465">
        <f t="shared" si="3"/>
        <v>1479.517</v>
      </c>
      <c r="K18" s="465">
        <f t="shared" si="3"/>
        <v>27854.641</v>
      </c>
      <c r="L18" s="465">
        <f t="shared" si="3"/>
        <v>1370.742</v>
      </c>
      <c r="M18" s="465">
        <f t="shared" si="3"/>
        <v>6522.250000000001</v>
      </c>
      <c r="N18" s="465">
        <f t="shared" si="3"/>
        <v>2421.841</v>
      </c>
      <c r="O18" s="465">
        <f t="shared" si="3"/>
        <v>61312.912000000004</v>
      </c>
      <c r="P18" s="463">
        <f t="shared" si="1"/>
        <v>12573.989000000001</v>
      </c>
      <c r="Q18" s="464">
        <f t="shared" si="1"/>
        <v>121355.35500000001</v>
      </c>
      <c r="R18" s="514"/>
    </row>
    <row r="19" spans="1:18" s="460" customFormat="1" ht="21" customHeight="1">
      <c r="A19" s="459"/>
      <c r="B19" s="456" t="s">
        <v>238</v>
      </c>
      <c r="C19" s="463">
        <f>'2019-2020'!O20</f>
        <v>551.75</v>
      </c>
      <c r="D19" s="463">
        <f>'2019-2020'!P20</f>
        <v>249</v>
      </c>
      <c r="E19" s="465">
        <v>414.668</v>
      </c>
      <c r="F19" s="465">
        <v>156.723</v>
      </c>
      <c r="G19" s="465">
        <f>SUM('2019-2020'!S20)</f>
        <v>525</v>
      </c>
      <c r="H19" s="465">
        <f>SUM('2019-2020'!T20)</f>
        <v>300</v>
      </c>
      <c r="I19" s="465">
        <v>0</v>
      </c>
      <c r="J19" s="465">
        <f>SUM('2019-2020'!V20)</f>
        <v>256</v>
      </c>
      <c r="K19" s="463">
        <f>SUM('2019-2020'!W20)</f>
        <v>525</v>
      </c>
      <c r="L19" s="463">
        <f>SUM('2019-2020'!X20)</f>
        <v>300</v>
      </c>
      <c r="M19" s="463">
        <f>SUM('2019-2020'!Y20)</f>
        <v>525</v>
      </c>
      <c r="N19" s="463">
        <f>SUM('2019-2020'!Z20)</f>
        <v>256</v>
      </c>
      <c r="O19" s="463">
        <f>SUM(C19+E19+G19+I19+K19+M19)</f>
        <v>2541.418</v>
      </c>
      <c r="P19" s="463">
        <f>SUM(D19+F19+H19+J19+L19+N19)</f>
        <v>1517.723</v>
      </c>
      <c r="Q19" s="528">
        <f t="shared" si="2"/>
        <v>4059.141</v>
      </c>
      <c r="R19" s="510"/>
    </row>
    <row r="20" spans="1:18" s="460" customFormat="1" ht="21" customHeight="1">
      <c r="A20" s="552" t="s">
        <v>235</v>
      </c>
      <c r="B20" s="456" t="s">
        <v>16</v>
      </c>
      <c r="C20" s="463">
        <f>'2019-2020'!O21</f>
        <v>2165.455</v>
      </c>
      <c r="D20" s="463">
        <f>'2019-2020'!P21</f>
        <v>0</v>
      </c>
      <c r="E20" s="465">
        <v>0</v>
      </c>
      <c r="F20" s="465">
        <v>0</v>
      </c>
      <c r="G20" s="465">
        <f>SUM('2019-2020'!S21)</f>
        <v>2584.173</v>
      </c>
      <c r="H20" s="465">
        <f>SUM('2019-2020'!T21)</f>
        <v>224.805</v>
      </c>
      <c r="I20" s="465">
        <v>0</v>
      </c>
      <c r="J20" s="465">
        <f>SUM('2019-2020'!V21)</f>
        <v>159.63</v>
      </c>
      <c r="K20" s="463">
        <f>SUM('2019-2020'!W21)</f>
        <v>329.901</v>
      </c>
      <c r="L20" s="463">
        <f>SUM('2019-2020'!X21)</f>
        <v>325.027</v>
      </c>
      <c r="M20" s="463">
        <f>SUM('2019-2020'!Y21)</f>
        <v>2073.384</v>
      </c>
      <c r="N20" s="463">
        <f>SUM('2019-2020'!Z21)</f>
        <v>9002.398</v>
      </c>
      <c r="O20" s="463">
        <f>SUM(C20+E20+G20+I20+K20+M20)</f>
        <v>7152.913</v>
      </c>
      <c r="P20" s="463">
        <f>SUM(D20+F20+H20+J20+L20+N20)</f>
        <v>9711.859999999999</v>
      </c>
      <c r="Q20" s="528">
        <f t="shared" si="2"/>
        <v>16864.772999999997</v>
      </c>
      <c r="R20" s="510"/>
    </row>
    <row r="21" spans="1:18" s="460" customFormat="1" ht="21.75" customHeight="1">
      <c r="A21" s="554"/>
      <c r="B21" s="456" t="s">
        <v>17</v>
      </c>
      <c r="C21" s="463">
        <f>'2019-2020'!O22</f>
        <v>0</v>
      </c>
      <c r="D21" s="463">
        <f>'2019-2020'!P22</f>
        <v>0</v>
      </c>
      <c r="E21" s="465">
        <v>0</v>
      </c>
      <c r="F21" s="465">
        <v>0</v>
      </c>
      <c r="G21" s="465">
        <f>SUM('2019-2020'!S22)</f>
        <v>0</v>
      </c>
      <c r="H21" s="465">
        <f>SUM('2019-2020'!T22)</f>
        <v>0</v>
      </c>
      <c r="I21" s="465">
        <v>0</v>
      </c>
      <c r="J21" s="465">
        <f>SUM('2019-2020'!V22)</f>
        <v>0</v>
      </c>
      <c r="K21" s="463">
        <f>SUM('2019-2020'!W22)</f>
        <v>0</v>
      </c>
      <c r="L21" s="463">
        <f>SUM('2019-2020'!X22)</f>
        <v>0</v>
      </c>
      <c r="M21" s="463">
        <f>SUM('2019-2020'!Y22)</f>
        <v>0</v>
      </c>
      <c r="N21" s="463">
        <f>SUM('2019-2020'!Z22)</f>
        <v>0</v>
      </c>
      <c r="O21" s="463">
        <f aca="true" t="shared" si="4" ref="O21:O28">SUM(C21+E21+G21+I21+K21+M21)</f>
        <v>0</v>
      </c>
      <c r="P21" s="463">
        <f aca="true" t="shared" si="5" ref="P21:P28">SUM(D21+F21+H21+J21+L21+N21)</f>
        <v>0</v>
      </c>
      <c r="Q21" s="528">
        <f t="shared" si="2"/>
        <v>0</v>
      </c>
      <c r="R21" s="510"/>
    </row>
    <row r="22" spans="1:18" s="460" customFormat="1" ht="21" customHeight="1">
      <c r="A22" s="554"/>
      <c r="B22" s="456" t="s">
        <v>198</v>
      </c>
      <c r="C22" s="463">
        <f>'2019-2020'!O23</f>
        <v>4363.668</v>
      </c>
      <c r="D22" s="463">
        <f>'2019-2020'!P23</f>
        <v>0</v>
      </c>
      <c r="E22" s="465">
        <v>58.35</v>
      </c>
      <c r="F22" s="465">
        <v>0</v>
      </c>
      <c r="G22" s="465">
        <f>SUM('2019-2020'!S23)</f>
        <v>4287.551</v>
      </c>
      <c r="H22" s="465">
        <f>SUM('2019-2020'!T23)</f>
        <v>0</v>
      </c>
      <c r="I22" s="465">
        <v>0</v>
      </c>
      <c r="J22" s="465">
        <f>SUM('2019-2020'!V23)</f>
        <v>0</v>
      </c>
      <c r="K22" s="463">
        <f>SUM('2019-2020'!W23)</f>
        <v>4361.321</v>
      </c>
      <c r="L22" s="463">
        <f>SUM('2019-2020'!X23)</f>
        <v>0</v>
      </c>
      <c r="M22" s="463">
        <f>SUM('2019-2020'!Y23)</f>
        <v>4383.411</v>
      </c>
      <c r="N22" s="463">
        <f>SUM('2019-2020'!Z23)</f>
        <v>0</v>
      </c>
      <c r="O22" s="463">
        <f t="shared" si="4"/>
        <v>17454.301</v>
      </c>
      <c r="P22" s="463">
        <f t="shared" si="5"/>
        <v>0</v>
      </c>
      <c r="Q22" s="528">
        <f t="shared" si="2"/>
        <v>17454.301</v>
      </c>
      <c r="R22" s="510"/>
    </row>
    <row r="23" spans="1:18" s="460" customFormat="1" ht="20.25" customHeight="1">
      <c r="A23" s="554"/>
      <c r="B23" s="456" t="s">
        <v>176</v>
      </c>
      <c r="C23" s="463">
        <f>'2019-2020'!O24</f>
        <v>88.715</v>
      </c>
      <c r="D23" s="463">
        <f>'2019-2020'!P24</f>
        <v>0</v>
      </c>
      <c r="E23" s="465">
        <v>199.715</v>
      </c>
      <c r="F23" s="465">
        <v>0</v>
      </c>
      <c r="G23" s="465">
        <f>SUM('2019-2020'!S24)</f>
        <v>1793.93</v>
      </c>
      <c r="H23" s="465">
        <f>SUM('2019-2020'!T24)</f>
        <v>0</v>
      </c>
      <c r="I23" s="465">
        <v>0</v>
      </c>
      <c r="J23" s="465">
        <f>SUM('2019-2020'!V24)</f>
        <v>0</v>
      </c>
      <c r="K23" s="463">
        <f>SUM('2019-2020'!W24)</f>
        <v>7033.87</v>
      </c>
      <c r="L23" s="463">
        <f>SUM('2019-2020'!X24)</f>
        <v>0</v>
      </c>
      <c r="M23" s="463">
        <f>SUM('2019-2020'!Y24)</f>
        <v>6220.355</v>
      </c>
      <c r="N23" s="463">
        <f>SUM('2019-2020'!Z24)</f>
        <v>0</v>
      </c>
      <c r="O23" s="463">
        <f t="shared" si="4"/>
        <v>15336.585</v>
      </c>
      <c r="P23" s="463">
        <f t="shared" si="5"/>
        <v>0</v>
      </c>
      <c r="Q23" s="528">
        <f t="shared" si="2"/>
        <v>15336.585</v>
      </c>
      <c r="R23" s="510"/>
    </row>
    <row r="24" spans="1:18" s="460" customFormat="1" ht="22.5" customHeight="1">
      <c r="A24" s="554"/>
      <c r="B24" s="456" t="s">
        <v>199</v>
      </c>
      <c r="C24" s="463">
        <f>'2019-2020'!O25</f>
        <v>0</v>
      </c>
      <c r="D24" s="463">
        <f>'2019-2020'!P25</f>
        <v>0</v>
      </c>
      <c r="E24" s="465">
        <v>15304.845</v>
      </c>
      <c r="F24" s="465">
        <v>0</v>
      </c>
      <c r="G24" s="465">
        <f>SUM('2019-2020'!S25)</f>
        <v>149.44</v>
      </c>
      <c r="H24" s="465">
        <f>SUM('2019-2020'!T25)</f>
        <v>0</v>
      </c>
      <c r="I24" s="465">
        <v>0</v>
      </c>
      <c r="J24" s="465">
        <f>SUM('2019-2020'!V25)</f>
        <v>75</v>
      </c>
      <c r="K24" s="463">
        <f>SUM('2019-2020'!W25)</f>
        <v>154</v>
      </c>
      <c r="L24" s="463">
        <f>SUM('2019-2020'!X25)</f>
        <v>0</v>
      </c>
      <c r="M24" s="463">
        <f>SUM('2019-2020'!Y25)</f>
        <v>0</v>
      </c>
      <c r="N24" s="463">
        <f>SUM('2019-2020'!Z25)</f>
        <v>0</v>
      </c>
      <c r="O24" s="463">
        <f t="shared" si="4"/>
        <v>15608.285</v>
      </c>
      <c r="P24" s="463">
        <f t="shared" si="5"/>
        <v>75</v>
      </c>
      <c r="Q24" s="528">
        <f t="shared" si="2"/>
        <v>15683.285</v>
      </c>
      <c r="R24" s="510"/>
    </row>
    <row r="25" spans="1:18" s="460" customFormat="1" ht="16.5" customHeight="1">
      <c r="A25" s="554"/>
      <c r="B25" s="456" t="s">
        <v>200</v>
      </c>
      <c r="C25" s="463">
        <f>'2019-2020'!O26</f>
        <v>0</v>
      </c>
      <c r="D25" s="463">
        <f>'2019-2020'!P26</f>
        <v>0</v>
      </c>
      <c r="E25" s="465">
        <v>0</v>
      </c>
      <c r="F25" s="465">
        <v>0</v>
      </c>
      <c r="G25" s="465">
        <f>SUM('2019-2020'!S26)</f>
        <v>0</v>
      </c>
      <c r="H25" s="465">
        <f>SUM('2019-2020'!T26)</f>
        <v>0</v>
      </c>
      <c r="I25" s="465">
        <v>0</v>
      </c>
      <c r="J25" s="465">
        <f>SUM('2019-2020'!V26)</f>
        <v>0</v>
      </c>
      <c r="K25" s="463">
        <f>SUM('2019-2020'!W26)</f>
        <v>0</v>
      </c>
      <c r="L25" s="463">
        <f>SUM('2019-2020'!X26)</f>
        <v>0</v>
      </c>
      <c r="M25" s="463">
        <f>SUM('2019-2020'!Y26)</f>
        <v>0</v>
      </c>
      <c r="N25" s="463">
        <f>SUM('2019-2020'!Z26)</f>
        <v>0</v>
      </c>
      <c r="O25" s="463">
        <f t="shared" si="4"/>
        <v>0</v>
      </c>
      <c r="P25" s="463">
        <f t="shared" si="5"/>
        <v>0</v>
      </c>
      <c r="Q25" s="528">
        <f t="shared" si="2"/>
        <v>0</v>
      </c>
      <c r="R25" s="510"/>
    </row>
    <row r="26" spans="1:18" s="460" customFormat="1" ht="18.75" customHeight="1">
      <c r="A26" s="554"/>
      <c r="B26" s="456" t="s">
        <v>284</v>
      </c>
      <c r="C26" s="463">
        <f>'2019-2020'!O27</f>
        <v>0</v>
      </c>
      <c r="D26" s="463">
        <f>'2019-2020'!P27</f>
        <v>0</v>
      </c>
      <c r="E26" s="465">
        <v>0</v>
      </c>
      <c r="F26" s="465">
        <v>0</v>
      </c>
      <c r="G26" s="465">
        <f>SUM('2019-2020'!S27)</f>
        <v>272.114</v>
      </c>
      <c r="H26" s="465">
        <f>SUM('2019-2020'!T27)</f>
        <v>0</v>
      </c>
      <c r="I26" s="465">
        <v>0</v>
      </c>
      <c r="J26" s="465">
        <f>SUM('2019-2020'!V27)</f>
        <v>0</v>
      </c>
      <c r="K26" s="463">
        <f>SUM('2019-2020'!W27)</f>
        <v>60.861</v>
      </c>
      <c r="L26" s="463">
        <f>SUM('2019-2020'!X27)</f>
        <v>0</v>
      </c>
      <c r="M26" s="463">
        <f>SUM('2019-2020'!Y27)</f>
        <v>688.879</v>
      </c>
      <c r="N26" s="463">
        <f>SUM('2019-2020'!Z27)</f>
        <v>0</v>
      </c>
      <c r="O26" s="463">
        <f t="shared" si="4"/>
        <v>1021.854</v>
      </c>
      <c r="P26" s="463">
        <f t="shared" si="5"/>
        <v>0</v>
      </c>
      <c r="Q26" s="528">
        <f t="shared" si="2"/>
        <v>1021.854</v>
      </c>
      <c r="R26" s="510"/>
    </row>
    <row r="27" spans="1:18" s="460" customFormat="1" ht="20.25" customHeight="1">
      <c r="A27" s="554"/>
      <c r="B27" s="456" t="s">
        <v>201</v>
      </c>
      <c r="C27" s="463">
        <f>'2019-2020'!O28</f>
        <v>0</v>
      </c>
      <c r="D27" s="463">
        <f>'2019-2020'!P28</f>
        <v>0</v>
      </c>
      <c r="E27" s="465">
        <v>0</v>
      </c>
      <c r="F27" s="465">
        <v>0</v>
      </c>
      <c r="G27" s="465">
        <f>SUM('2019-2020'!S28)</f>
        <v>0</v>
      </c>
      <c r="H27" s="465">
        <f>SUM('2019-2020'!T28)</f>
        <v>0</v>
      </c>
      <c r="I27" s="465">
        <v>0</v>
      </c>
      <c r="J27" s="465">
        <f>SUM('2019-2020'!V28)</f>
        <v>0</v>
      </c>
      <c r="K27" s="463">
        <f>SUM('2019-2020'!W28)</f>
        <v>0</v>
      </c>
      <c r="L27" s="463">
        <f>SUM('2019-2020'!X28)</f>
        <v>0</v>
      </c>
      <c r="M27" s="463">
        <f>SUM('2019-2020'!Y28)</f>
        <v>0</v>
      </c>
      <c r="N27" s="463">
        <f>SUM('2019-2020'!Z28)</f>
        <v>0</v>
      </c>
      <c r="O27" s="463">
        <f t="shared" si="4"/>
        <v>0</v>
      </c>
      <c r="P27" s="463">
        <f t="shared" si="5"/>
        <v>0</v>
      </c>
      <c r="Q27" s="528">
        <f t="shared" si="2"/>
        <v>0</v>
      </c>
      <c r="R27" s="510"/>
    </row>
    <row r="28" spans="1:18" s="460" customFormat="1" ht="21.75" customHeight="1">
      <c r="A28" s="554"/>
      <c r="B28" s="456" t="s">
        <v>283</v>
      </c>
      <c r="C28" s="463">
        <f>'2019-2020'!O29</f>
        <v>0</v>
      </c>
      <c r="D28" s="463">
        <f>'2019-2020'!P29</f>
        <v>771.161</v>
      </c>
      <c r="E28" s="465">
        <v>0</v>
      </c>
      <c r="F28" s="465">
        <v>0</v>
      </c>
      <c r="G28" s="465">
        <f>SUM('2019-2020'!S29)</f>
        <v>0</v>
      </c>
      <c r="H28" s="465">
        <f>SUM('2019-2020'!T29)</f>
        <v>0</v>
      </c>
      <c r="I28" s="465">
        <v>0</v>
      </c>
      <c r="J28" s="465">
        <f>SUM('2019-2020'!V29)</f>
        <v>0</v>
      </c>
      <c r="K28" s="463">
        <f>SUM('2019-2020'!W29)</f>
        <v>182.594</v>
      </c>
      <c r="L28" s="463">
        <f>SUM('2019-2020'!X29)</f>
        <v>343.838</v>
      </c>
      <c r="M28" s="463">
        <f>SUM('2019-2020'!Y29)</f>
        <v>0</v>
      </c>
      <c r="N28" s="463">
        <f>SUM('2019-2020'!Z29)</f>
        <v>2062.652</v>
      </c>
      <c r="O28" s="463">
        <f t="shared" si="4"/>
        <v>182.594</v>
      </c>
      <c r="P28" s="463">
        <f t="shared" si="5"/>
        <v>3177.651</v>
      </c>
      <c r="Q28" s="528">
        <f t="shared" si="2"/>
        <v>3360.245</v>
      </c>
      <c r="R28" s="510"/>
    </row>
    <row r="29" spans="1:18" s="489" customFormat="1" ht="21.75" customHeight="1">
      <c r="A29" s="554"/>
      <c r="B29" s="522" t="s">
        <v>239</v>
      </c>
      <c r="C29" s="523">
        <f aca="true" t="shared" si="6" ref="C29:Q29">SUM(C20:C28)</f>
        <v>6617.838</v>
      </c>
      <c r="D29" s="523">
        <f t="shared" si="6"/>
        <v>771.161</v>
      </c>
      <c r="E29" s="524">
        <f t="shared" si="6"/>
        <v>15562.91</v>
      </c>
      <c r="F29" s="524">
        <f t="shared" si="6"/>
        <v>0</v>
      </c>
      <c r="G29" s="524">
        <f t="shared" si="6"/>
        <v>9087.208</v>
      </c>
      <c r="H29" s="524">
        <f t="shared" si="6"/>
        <v>224.805</v>
      </c>
      <c r="I29" s="524">
        <f t="shared" si="6"/>
        <v>0</v>
      </c>
      <c r="J29" s="524">
        <f t="shared" si="6"/>
        <v>234.63</v>
      </c>
      <c r="K29" s="523">
        <f t="shared" si="6"/>
        <v>12122.547</v>
      </c>
      <c r="L29" s="523">
        <f t="shared" si="6"/>
        <v>668.865</v>
      </c>
      <c r="M29" s="523">
        <f t="shared" si="6"/>
        <v>13366.029</v>
      </c>
      <c r="N29" s="523">
        <f t="shared" si="6"/>
        <v>11065.05</v>
      </c>
      <c r="O29" s="523">
        <f t="shared" si="6"/>
        <v>56756.532</v>
      </c>
      <c r="P29" s="523">
        <f t="shared" si="6"/>
        <v>12964.510999999999</v>
      </c>
      <c r="Q29" s="529">
        <f t="shared" si="6"/>
        <v>69721.04299999999</v>
      </c>
      <c r="R29" s="515"/>
    </row>
    <row r="30" spans="1:18" s="492" customFormat="1" ht="20.25" customHeight="1">
      <c r="A30" s="561" t="s">
        <v>286</v>
      </c>
      <c r="B30" s="562"/>
      <c r="C30" s="490">
        <f aca="true" t="shared" si="7" ref="C30:P30">C18+C19+C29</f>
        <v>8440.057</v>
      </c>
      <c r="D30" s="490">
        <f t="shared" si="7"/>
        <v>3557.771</v>
      </c>
      <c r="E30" s="490">
        <f t="shared" si="7"/>
        <v>17144.079</v>
      </c>
      <c r="F30" s="491">
        <f t="shared" si="7"/>
        <v>2528.679</v>
      </c>
      <c r="G30" s="490">
        <f t="shared" si="7"/>
        <v>34111.259</v>
      </c>
      <c r="H30" s="465">
        <f>SUM('2019-2020'!T31)</f>
        <v>2917.1279999999997</v>
      </c>
      <c r="I30" s="465">
        <v>0</v>
      </c>
      <c r="J30" s="465">
        <f>SUM('2019-2020'!V31)</f>
        <v>1970.147</v>
      </c>
      <c r="K30" s="490">
        <f t="shared" si="7"/>
        <v>40502.188</v>
      </c>
      <c r="L30" s="490">
        <f t="shared" si="7"/>
        <v>2339.607</v>
      </c>
      <c r="M30" s="490">
        <f t="shared" si="7"/>
        <v>20413.279000000002</v>
      </c>
      <c r="N30" s="490">
        <f t="shared" si="7"/>
        <v>13742.891</v>
      </c>
      <c r="O30" s="490">
        <f t="shared" si="7"/>
        <v>120610.862</v>
      </c>
      <c r="P30" s="490">
        <f t="shared" si="7"/>
        <v>27056.222999999998</v>
      </c>
      <c r="Q30" s="528">
        <f t="shared" si="2"/>
        <v>147667.085</v>
      </c>
      <c r="R30" s="516"/>
    </row>
    <row r="31" spans="1:18" s="461" customFormat="1" ht="19.5" customHeight="1">
      <c r="A31" s="554"/>
      <c r="B31" s="456" t="s">
        <v>10</v>
      </c>
      <c r="C31" s="463">
        <f>'2019-2020'!O32</f>
        <v>22380.636</v>
      </c>
      <c r="D31" s="463">
        <f>'2019-2020'!P32</f>
        <v>10527.58</v>
      </c>
      <c r="E31" s="465">
        <v>33349.489</v>
      </c>
      <c r="F31" s="465">
        <v>2570.912</v>
      </c>
      <c r="G31" s="465">
        <f>SUM('2019-2020'!S32)</f>
        <v>25842.692</v>
      </c>
      <c r="H31" s="465">
        <f>SUM('2019-2020'!T32)</f>
        <v>4932.598</v>
      </c>
      <c r="I31" s="465">
        <v>0</v>
      </c>
      <c r="J31" s="465">
        <f>SUM('2019-2020'!V32)</f>
        <v>3128.984</v>
      </c>
      <c r="K31" s="463">
        <f>SUM('2019-2020'!W32)</f>
        <v>24573.33</v>
      </c>
      <c r="L31" s="463">
        <f>SUM('2019-2020'!X32)</f>
        <v>7699.514</v>
      </c>
      <c r="M31" s="463">
        <f>SUM('2019-2020'!Y32)</f>
        <v>41763.005</v>
      </c>
      <c r="N31" s="463">
        <f>SUM('2019-2020'!Z32)</f>
        <v>18329.466</v>
      </c>
      <c r="O31" s="463">
        <f>SUM(C31+E31+G31+I31+K31+M31)</f>
        <v>147909.152</v>
      </c>
      <c r="P31" s="463">
        <f>SUM(D31+F31+H31+J31+L31+N31)</f>
        <v>47189.054000000004</v>
      </c>
      <c r="Q31" s="528">
        <f t="shared" si="2"/>
        <v>195098.206</v>
      </c>
      <c r="R31" s="517"/>
    </row>
    <row r="32" spans="1:18" s="461" customFormat="1" ht="19.5" customHeight="1">
      <c r="A32" s="554"/>
      <c r="B32" s="456" t="s">
        <v>291</v>
      </c>
      <c r="C32" s="463">
        <f>'2019-2020'!O33</f>
        <v>8206.301</v>
      </c>
      <c r="D32" s="463">
        <f>'2019-2020'!P33</f>
        <v>0</v>
      </c>
      <c r="E32" s="465">
        <v>16958.905</v>
      </c>
      <c r="F32" s="465">
        <v>0</v>
      </c>
      <c r="G32" s="465">
        <f>SUM('2019-2020'!S33)</f>
        <v>19406.367</v>
      </c>
      <c r="H32" s="465">
        <f>SUM('2019-2020'!T33)</f>
        <v>0</v>
      </c>
      <c r="I32" s="465">
        <v>0</v>
      </c>
      <c r="J32" s="465">
        <f>SUM('2019-2020'!V33)</f>
        <v>0</v>
      </c>
      <c r="K32" s="463">
        <f>SUM('2019-2020'!W33)</f>
        <v>1598.586</v>
      </c>
      <c r="L32" s="463">
        <f>SUM('2019-2020'!X33)</f>
        <v>0</v>
      </c>
      <c r="M32" s="463">
        <f>SUM('2019-2020'!Y33)</f>
        <v>0</v>
      </c>
      <c r="N32" s="463">
        <f>SUM('2019-2020'!Z33)</f>
        <v>0</v>
      </c>
      <c r="O32" s="463">
        <f aca="true" t="shared" si="8" ref="O32:O37">SUM(C32+E32+G32+I32+K32+M32)</f>
        <v>46170.159</v>
      </c>
      <c r="P32" s="463">
        <f aca="true" t="shared" si="9" ref="P32:P37">SUM(D32+F32+H32+J32+L32+N32)</f>
        <v>0</v>
      </c>
      <c r="Q32" s="528">
        <f t="shared" si="2"/>
        <v>46170.159</v>
      </c>
      <c r="R32" s="517"/>
    </row>
    <row r="33" spans="1:18" s="466" customFormat="1" ht="20.25" customHeight="1">
      <c r="A33" s="554"/>
      <c r="B33" s="456" t="s">
        <v>285</v>
      </c>
      <c r="C33" s="463">
        <f>'2019-2020'!O34</f>
        <v>30586.936999999998</v>
      </c>
      <c r="D33" s="463">
        <f>'2019-2020'!P34</f>
        <v>10527.58</v>
      </c>
      <c r="E33" s="463">
        <f>SUM(E31:E32)</f>
        <v>50308.394</v>
      </c>
      <c r="F33" s="463">
        <f>SUM(F31:F32)</f>
        <v>2570.912</v>
      </c>
      <c r="G33" s="465">
        <f>SUM('2019-2020'!S34)</f>
        <v>45249.058999999994</v>
      </c>
      <c r="H33" s="465">
        <f>SUM('2019-2020'!T34)</f>
        <v>4932.598</v>
      </c>
      <c r="I33" s="465">
        <v>0</v>
      </c>
      <c r="J33" s="465">
        <f>SUM('2019-2020'!V34)</f>
        <v>3128.984</v>
      </c>
      <c r="K33" s="463">
        <f>SUM('2019-2020'!W34)</f>
        <v>26171.916</v>
      </c>
      <c r="L33" s="463">
        <f>SUM('2019-2020'!X34)</f>
        <v>7699.514</v>
      </c>
      <c r="M33" s="463">
        <f>SUM('2019-2020'!Y34)</f>
        <v>41763.005</v>
      </c>
      <c r="N33" s="463">
        <f>SUM('2019-2020'!Z34)</f>
        <v>18329.466</v>
      </c>
      <c r="O33" s="463">
        <f t="shared" si="8"/>
        <v>194079.31100000002</v>
      </c>
      <c r="P33" s="463">
        <f t="shared" si="9"/>
        <v>47189.054000000004</v>
      </c>
      <c r="Q33" s="528">
        <f t="shared" si="2"/>
        <v>241268.36500000002</v>
      </c>
      <c r="R33" s="518"/>
    </row>
    <row r="34" spans="1:18" s="466" customFormat="1" ht="19.5" customHeight="1">
      <c r="A34" s="554"/>
      <c r="B34" s="456" t="s">
        <v>309</v>
      </c>
      <c r="C34" s="463">
        <f>'2019-2020'!O35</f>
        <v>29010.914</v>
      </c>
      <c r="D34" s="463">
        <f>'2019-2020'!P35</f>
        <v>7257.588</v>
      </c>
      <c r="E34" s="465">
        <v>60374.18</v>
      </c>
      <c r="F34" s="483">
        <v>98.971</v>
      </c>
      <c r="G34" s="465">
        <f>SUM('2019-2020'!S35)</f>
        <v>60646.475</v>
      </c>
      <c r="H34" s="465">
        <f>SUM('2019-2020'!T35)</f>
        <v>5788.449</v>
      </c>
      <c r="I34" s="465">
        <v>0</v>
      </c>
      <c r="J34" s="465">
        <f>SUM('2019-2020'!V35)</f>
        <v>250</v>
      </c>
      <c r="K34" s="463">
        <f>SUM('2019-2020'!W35)</f>
        <v>47073.634</v>
      </c>
      <c r="L34" s="463">
        <f>SUM('2019-2020'!X35)</f>
        <v>653</v>
      </c>
      <c r="M34" s="463">
        <f>SUM('2019-2020'!Y35)</f>
        <v>56300.039</v>
      </c>
      <c r="N34" s="463">
        <f>SUM('2019-2020'!Z35)</f>
        <v>11287.181</v>
      </c>
      <c r="O34" s="463">
        <f t="shared" si="8"/>
        <v>253405.24199999997</v>
      </c>
      <c r="P34" s="463">
        <f t="shared" si="9"/>
        <v>25335.189</v>
      </c>
      <c r="Q34" s="528">
        <f t="shared" si="2"/>
        <v>278740.431</v>
      </c>
      <c r="R34" s="518"/>
    </row>
    <row r="35" spans="1:18" s="497" customFormat="1" ht="21" customHeight="1">
      <c r="A35" s="554"/>
      <c r="B35" s="493" t="s">
        <v>11</v>
      </c>
      <c r="C35" s="463">
        <f>'2019-2020'!O36</f>
        <v>46943.84</v>
      </c>
      <c r="D35" s="463">
        <f>'2019-2020'!P36</f>
        <v>0</v>
      </c>
      <c r="E35" s="495">
        <v>36434.24</v>
      </c>
      <c r="F35" s="496">
        <v>0</v>
      </c>
      <c r="G35" s="465">
        <f>SUM('2019-2020'!S36)</f>
        <v>7563.29</v>
      </c>
      <c r="H35" s="465">
        <f>SUM('2019-2020'!T36)</f>
        <v>0</v>
      </c>
      <c r="I35" s="465">
        <v>0</v>
      </c>
      <c r="J35" s="465">
        <f>SUM('2019-2020'!V36)</f>
        <v>170.85</v>
      </c>
      <c r="K35" s="463">
        <f>SUM('2019-2020'!W36)</f>
        <v>17107.35</v>
      </c>
      <c r="L35" s="463">
        <f>SUM('2019-2020'!X36)</f>
        <v>4769.75</v>
      </c>
      <c r="M35" s="463">
        <f>SUM('2019-2020'!Y36)</f>
        <v>57479.4</v>
      </c>
      <c r="N35" s="463">
        <f>SUM('2019-2020'!Z36)</f>
        <v>6411.4</v>
      </c>
      <c r="O35" s="494">
        <f t="shared" si="8"/>
        <v>165528.11999999997</v>
      </c>
      <c r="P35" s="494">
        <f t="shared" si="9"/>
        <v>11352</v>
      </c>
      <c r="Q35" s="528">
        <f t="shared" si="2"/>
        <v>176880.11999999997</v>
      </c>
      <c r="R35" s="519"/>
    </row>
    <row r="36" spans="1:18" s="461" customFormat="1" ht="20.25" customHeight="1">
      <c r="A36" s="554"/>
      <c r="B36" s="456" t="s">
        <v>288</v>
      </c>
      <c r="C36" s="463">
        <f>'2019-2020'!O37</f>
        <v>116.582</v>
      </c>
      <c r="D36" s="463">
        <f>'2019-2020'!P37</f>
        <v>12.461</v>
      </c>
      <c r="E36" s="465">
        <v>240.03</v>
      </c>
      <c r="F36" s="465">
        <v>7.299</v>
      </c>
      <c r="G36" s="465">
        <f>SUM('2019-2020'!S37)</f>
        <v>499.376</v>
      </c>
      <c r="H36" s="465">
        <f>SUM('2019-2020'!T37)</f>
        <v>26.795</v>
      </c>
      <c r="I36" s="465">
        <v>0</v>
      </c>
      <c r="J36" s="465">
        <f>SUM('2019-2020'!V37)</f>
        <v>7.335</v>
      </c>
      <c r="K36" s="463">
        <f>SUM('2019-2020'!W37)</f>
        <v>312.977</v>
      </c>
      <c r="L36" s="463">
        <f>SUM('2019-2020'!X37)</f>
        <v>8.697</v>
      </c>
      <c r="M36" s="463">
        <f>SUM('2019-2020'!Y37)</f>
        <v>225.734</v>
      </c>
      <c r="N36" s="463">
        <f>SUM('2019-2020'!Z37)</f>
        <v>38.891</v>
      </c>
      <c r="O36" s="463">
        <f t="shared" si="8"/>
        <v>1394.6989999999998</v>
      </c>
      <c r="P36" s="463">
        <f t="shared" si="9"/>
        <v>101.47800000000001</v>
      </c>
      <c r="Q36" s="528">
        <f t="shared" si="2"/>
        <v>1496.177</v>
      </c>
      <c r="R36" s="517"/>
    </row>
    <row r="37" spans="1:18" s="461" customFormat="1" ht="25.5" customHeight="1" thickBot="1">
      <c r="A37" s="560"/>
      <c r="B37" s="462" t="s">
        <v>250</v>
      </c>
      <c r="C37" s="474">
        <f>'2019-2020'!O38</f>
        <v>25.833</v>
      </c>
      <c r="D37" s="474">
        <f>'2019-2020'!P38</f>
        <v>18.254</v>
      </c>
      <c r="E37" s="477">
        <v>38.618</v>
      </c>
      <c r="F37" s="477">
        <v>1.687</v>
      </c>
      <c r="G37" s="477">
        <f>SUM('2019-2020'!S38)</f>
        <v>30.085</v>
      </c>
      <c r="H37" s="477">
        <f>SUM('2019-2020'!T38)</f>
        <v>5.683</v>
      </c>
      <c r="I37" s="477">
        <v>0</v>
      </c>
      <c r="J37" s="477">
        <f>SUM('2019-2020'!V38)</f>
        <v>3.512</v>
      </c>
      <c r="K37" s="474">
        <f>SUM('2019-2020'!W38)</f>
        <v>28.02</v>
      </c>
      <c r="L37" s="474">
        <f>SUM('2019-2020'!X38)</f>
        <v>8.588</v>
      </c>
      <c r="M37" s="474">
        <f>SUM('2019-2020'!Y38)</f>
        <v>47.34</v>
      </c>
      <c r="N37" s="474">
        <f>SUM('2019-2020'!Z38)</f>
        <v>15.502</v>
      </c>
      <c r="O37" s="474">
        <f t="shared" si="8"/>
        <v>169.89600000000002</v>
      </c>
      <c r="P37" s="474">
        <f t="shared" si="9"/>
        <v>53.226000000000006</v>
      </c>
      <c r="Q37" s="530">
        <f t="shared" si="2"/>
        <v>223.122</v>
      </c>
      <c r="R37" s="517"/>
    </row>
    <row r="38" spans="1:16" ht="25.5" customHeight="1">
      <c r="A38" s="434"/>
      <c r="B38" s="434"/>
      <c r="C38" s="434"/>
      <c r="D38" s="434"/>
      <c r="E38" s="435"/>
      <c r="F38" s="435"/>
      <c r="G38" s="435"/>
      <c r="H38" s="435"/>
      <c r="I38" s="435"/>
      <c r="J38" s="435"/>
      <c r="K38" s="434"/>
      <c r="L38" s="434"/>
      <c r="M38" s="434"/>
      <c r="N38" s="434"/>
      <c r="O38" s="434"/>
      <c r="P38" s="434"/>
    </row>
    <row r="39" spans="1:16" ht="25.5" customHeight="1">
      <c r="A39" s="434"/>
      <c r="B39" s="434"/>
      <c r="C39" s="434"/>
      <c r="D39" s="434"/>
      <c r="E39" s="435"/>
      <c r="F39" s="435"/>
      <c r="G39" s="435"/>
      <c r="H39" s="435"/>
      <c r="I39" s="435"/>
      <c r="J39" s="435"/>
      <c r="K39" s="434"/>
      <c r="L39" s="434"/>
      <c r="M39" s="434"/>
      <c r="N39" s="434"/>
      <c r="O39" s="434"/>
      <c r="P39" s="434"/>
    </row>
    <row r="40" spans="1:16" ht="25.5" customHeight="1">
      <c r="A40" s="434"/>
      <c r="B40" s="434"/>
      <c r="C40" s="434"/>
      <c r="D40" s="434"/>
      <c r="E40" s="435"/>
      <c r="F40" s="435"/>
      <c r="G40" s="435"/>
      <c r="H40" s="435"/>
      <c r="I40" s="435"/>
      <c r="J40" s="435"/>
      <c r="K40" s="434"/>
      <c r="L40" s="434"/>
      <c r="M40" s="434"/>
      <c r="N40" s="434"/>
      <c r="O40" s="434"/>
      <c r="P40" s="434"/>
    </row>
    <row r="41" spans="1:16" ht="15.75" customHeight="1">
      <c r="A41" s="434"/>
      <c r="B41" s="434"/>
      <c r="C41" s="434"/>
      <c r="D41" s="434"/>
      <c r="E41" s="435"/>
      <c r="F41" s="435"/>
      <c r="G41" s="435"/>
      <c r="H41" s="435"/>
      <c r="I41" s="435"/>
      <c r="J41" s="435"/>
      <c r="K41" s="434"/>
      <c r="L41" s="434"/>
      <c r="M41" s="563" t="s">
        <v>307</v>
      </c>
      <c r="N41" s="563"/>
      <c r="O41" s="434"/>
      <c r="P41" s="434"/>
    </row>
    <row r="42" spans="1:16" ht="15.75" customHeight="1">
      <c r="A42" s="434"/>
      <c r="B42" s="434"/>
      <c r="C42" s="434"/>
      <c r="D42" s="434"/>
      <c r="E42" s="435"/>
      <c r="F42" s="435"/>
      <c r="G42" s="435"/>
      <c r="H42" s="435"/>
      <c r="I42" s="435"/>
      <c r="J42" s="435"/>
      <c r="K42" s="434"/>
      <c r="L42" s="434"/>
      <c r="M42" s="563" t="s">
        <v>308</v>
      </c>
      <c r="N42" s="563"/>
      <c r="O42" s="434"/>
      <c r="P42" s="434"/>
    </row>
    <row r="43" spans="1:16" ht="15.75" customHeight="1">
      <c r="A43" s="434"/>
      <c r="B43" s="434"/>
      <c r="C43" s="434"/>
      <c r="D43" s="434"/>
      <c r="E43" s="435"/>
      <c r="F43" s="435"/>
      <c r="G43" s="435"/>
      <c r="H43" s="435"/>
      <c r="I43" s="435"/>
      <c r="J43" s="435"/>
      <c r="K43" s="434"/>
      <c r="L43" s="434"/>
      <c r="M43" s="434"/>
      <c r="N43" s="434"/>
      <c r="O43" s="434"/>
      <c r="P43" s="434"/>
    </row>
    <row r="44" spans="1:16" ht="15.75" customHeight="1">
      <c r="A44" s="434"/>
      <c r="B44" s="434"/>
      <c r="C44" s="434"/>
      <c r="D44" s="434"/>
      <c r="E44" s="435"/>
      <c r="F44" s="435"/>
      <c r="G44" s="435"/>
      <c r="H44" s="435"/>
      <c r="I44" s="435"/>
      <c r="J44" s="435"/>
      <c r="K44" s="434"/>
      <c r="L44" s="434"/>
      <c r="M44" s="434"/>
      <c r="N44" s="434"/>
      <c r="O44" s="434"/>
      <c r="P44" s="434"/>
    </row>
    <row r="45" spans="1:16" ht="15.75" customHeight="1">
      <c r="A45" s="434"/>
      <c r="B45" s="434"/>
      <c r="C45" s="434"/>
      <c r="D45" s="434"/>
      <c r="E45" s="435"/>
      <c r="F45" s="435"/>
      <c r="G45" s="435"/>
      <c r="H45" s="435"/>
      <c r="I45" s="435"/>
      <c r="J45" s="435"/>
      <c r="K45" s="434"/>
      <c r="L45" s="434"/>
      <c r="M45" s="434"/>
      <c r="N45" s="434"/>
      <c r="O45" s="434"/>
      <c r="P45" s="434"/>
    </row>
    <row r="46" spans="1:16" ht="15.75" customHeight="1">
      <c r="A46" s="434"/>
      <c r="B46" s="434"/>
      <c r="C46" s="434"/>
      <c r="D46" s="434"/>
      <c r="E46" s="435"/>
      <c r="F46" s="435"/>
      <c r="G46" s="435"/>
      <c r="H46" s="435"/>
      <c r="I46" s="435"/>
      <c r="J46" s="435"/>
      <c r="K46" s="434"/>
      <c r="L46" s="434"/>
      <c r="M46" s="434"/>
      <c r="N46" s="434"/>
      <c r="O46" s="434"/>
      <c r="P46" s="434"/>
    </row>
    <row r="47" spans="1:16" ht="15.75" customHeight="1">
      <c r="A47" s="434"/>
      <c r="B47" s="434"/>
      <c r="C47" s="434"/>
      <c r="D47" s="434"/>
      <c r="E47" s="435"/>
      <c r="F47" s="435"/>
      <c r="G47" s="435"/>
      <c r="H47" s="435"/>
      <c r="I47" s="435"/>
      <c r="J47" s="435"/>
      <c r="K47" s="434"/>
      <c r="L47" s="434"/>
      <c r="M47" s="434"/>
      <c r="N47" s="434"/>
      <c r="O47" s="434"/>
      <c r="P47" s="434"/>
    </row>
    <row r="48" spans="1:16" ht="15.75" customHeight="1">
      <c r="A48" s="434"/>
      <c r="B48" s="445"/>
      <c r="C48" s="445"/>
      <c r="D48" s="445"/>
      <c r="E48" s="446"/>
      <c r="F48" s="446"/>
      <c r="G48" s="446"/>
      <c r="H48" s="446"/>
      <c r="I48" s="446"/>
      <c r="J48" s="446"/>
      <c r="K48" s="445"/>
      <c r="L48" s="445"/>
      <c r="M48" s="445"/>
      <c r="N48" s="445"/>
      <c r="O48" s="445"/>
      <c r="P48" s="434"/>
    </row>
    <row r="49" spans="1:16" ht="17.25" customHeight="1">
      <c r="A49" s="434"/>
      <c r="B49" s="447"/>
      <c r="C49" s="537"/>
      <c r="D49" s="537"/>
      <c r="E49" s="537"/>
      <c r="F49" s="448"/>
      <c r="G49" s="447"/>
      <c r="H49" s="447"/>
      <c r="I49" s="539" t="s">
        <v>20</v>
      </c>
      <c r="J49" s="539"/>
      <c r="K49" s="539"/>
      <c r="L49" s="449"/>
      <c r="M49" s="450"/>
      <c r="N49" s="450"/>
      <c r="O49" s="445"/>
      <c r="P49" s="443"/>
    </row>
    <row r="50" spans="1:16" ht="15" customHeight="1">
      <c r="A50" s="434"/>
      <c r="B50" s="447" t="s">
        <v>240</v>
      </c>
      <c r="C50" s="444"/>
      <c r="D50" s="444"/>
      <c r="E50" s="453" t="s">
        <v>194</v>
      </c>
      <c r="F50" s="453"/>
      <c r="G50" s="453"/>
      <c r="H50" s="453"/>
      <c r="I50" s="538" t="s">
        <v>269</v>
      </c>
      <c r="J50" s="538"/>
      <c r="K50" s="538"/>
      <c r="L50" s="445"/>
      <c r="M50" s="453"/>
      <c r="N50" s="453"/>
      <c r="O50" s="447"/>
      <c r="P50" s="432"/>
    </row>
    <row r="51" spans="1:16" ht="17.25" customHeight="1">
      <c r="A51" s="434"/>
      <c r="B51" s="536" t="s">
        <v>18</v>
      </c>
      <c r="C51" s="536"/>
      <c r="D51" s="454"/>
      <c r="E51" s="447"/>
      <c r="F51" s="447"/>
      <c r="G51" s="447"/>
      <c r="H51" s="447"/>
      <c r="I51" s="538" t="s">
        <v>244</v>
      </c>
      <c r="J51" s="538"/>
      <c r="K51" s="538"/>
      <c r="L51" s="445"/>
      <c r="M51" s="453"/>
      <c r="N51" s="453"/>
      <c r="O51" s="447"/>
      <c r="P51" s="432"/>
    </row>
    <row r="52" spans="1:16" ht="16.5" customHeight="1">
      <c r="A52" s="434"/>
      <c r="B52" s="536" t="s">
        <v>19</v>
      </c>
      <c r="C52" s="536"/>
      <c r="D52" s="454"/>
      <c r="E52" s="447"/>
      <c r="F52" s="447"/>
      <c r="G52" s="447"/>
      <c r="H52" s="447"/>
      <c r="I52" s="479" t="s">
        <v>22</v>
      </c>
      <c r="J52" s="479"/>
      <c r="K52" s="478"/>
      <c r="L52" s="445"/>
      <c r="M52" s="445"/>
      <c r="N52" s="445"/>
      <c r="O52" s="447"/>
      <c r="P52" s="432"/>
    </row>
    <row r="53" spans="2:15" ht="18.75" customHeight="1">
      <c r="B53" s="444"/>
      <c r="C53" s="444"/>
      <c r="D53" s="444"/>
      <c r="E53" s="444"/>
      <c r="F53" s="444"/>
      <c r="G53" s="444"/>
      <c r="H53" s="444"/>
      <c r="I53" s="479" t="s">
        <v>202</v>
      </c>
      <c r="J53" s="479"/>
      <c r="K53" s="480"/>
      <c r="L53" s="444"/>
      <c r="M53" s="444"/>
      <c r="N53" s="444"/>
      <c r="O53" s="444"/>
    </row>
    <row r="54" spans="9:11" ht="16.5">
      <c r="I54" s="481"/>
      <c r="J54" s="481"/>
      <c r="K54" s="481"/>
    </row>
  </sheetData>
  <sheetProtection/>
  <mergeCells count="23">
    <mergeCell ref="M42:N42"/>
    <mergeCell ref="B52:C52"/>
    <mergeCell ref="C49:E49"/>
    <mergeCell ref="M3:N3"/>
    <mergeCell ref="A3:B4"/>
    <mergeCell ref="A5:B5"/>
    <mergeCell ref="I50:K50"/>
    <mergeCell ref="B51:C51"/>
    <mergeCell ref="I49:K49"/>
    <mergeCell ref="I51:K51"/>
    <mergeCell ref="E1:N1"/>
    <mergeCell ref="E2:N2"/>
    <mergeCell ref="C3:D3"/>
    <mergeCell ref="E3:F3"/>
    <mergeCell ref="G3:H3"/>
    <mergeCell ref="I3:J3"/>
    <mergeCell ref="K3:L3"/>
    <mergeCell ref="A31:A37"/>
    <mergeCell ref="A30:B30"/>
    <mergeCell ref="O3:P3"/>
    <mergeCell ref="A6:A18"/>
    <mergeCell ref="A20:A29"/>
    <mergeCell ref="M41:N41"/>
  </mergeCells>
  <printOptions/>
  <pageMargins left="0.7874015748031497" right="0.3937007874015748" top="0.3937007874015748" bottom="0.3937007874015748" header="0.5118110236220472" footer="0.1968503937007874"/>
  <pageSetup horizontalDpi="600" verticalDpi="600" orientation="landscape" paperSize="9" scale="60" r:id="rId1"/>
  <headerFooter alignWithMargins="0"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R54"/>
  <sheetViews>
    <sheetView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D11" sqref="D11"/>
    </sheetView>
  </sheetViews>
  <sheetFormatPr defaultColWidth="9.140625" defaultRowHeight="12.75"/>
  <cols>
    <col min="1" max="1" width="3.7109375" style="433" customWidth="1"/>
    <col min="2" max="2" width="23.7109375" style="433" customWidth="1"/>
    <col min="3" max="3" width="13.7109375" style="433" customWidth="1"/>
    <col min="4" max="4" width="13.57421875" style="433" customWidth="1"/>
    <col min="5" max="5" width="13.00390625" style="433" customWidth="1"/>
    <col min="6" max="6" width="11.8515625" style="433" customWidth="1"/>
    <col min="7" max="7" width="12.421875" style="433" customWidth="1"/>
    <col min="8" max="8" width="13.140625" style="433" customWidth="1"/>
    <col min="9" max="9" width="13.28125" style="433" customWidth="1"/>
    <col min="10" max="10" width="12.8515625" style="433" customWidth="1"/>
    <col min="11" max="11" width="12.421875" style="433" customWidth="1"/>
    <col min="12" max="12" width="11.8515625" style="433" customWidth="1"/>
    <col min="13" max="13" width="13.140625" style="433" customWidth="1"/>
    <col min="14" max="14" width="12.7109375" style="433" customWidth="1"/>
    <col min="15" max="15" width="13.140625" style="433" customWidth="1"/>
    <col min="16" max="16" width="13.57421875" style="433" customWidth="1"/>
    <col min="17" max="17" width="15.8515625" style="433" customWidth="1"/>
    <col min="18" max="16384" width="9.140625" style="433" customWidth="1"/>
  </cols>
  <sheetData>
    <row r="1" spans="1:16" ht="21.75" customHeight="1">
      <c r="A1" s="432"/>
      <c r="B1" s="432"/>
      <c r="C1" s="432"/>
      <c r="D1" s="432"/>
      <c r="E1" s="540" t="s">
        <v>305</v>
      </c>
      <c r="F1" s="540"/>
      <c r="G1" s="540"/>
      <c r="H1" s="540"/>
      <c r="I1" s="540"/>
      <c r="J1" s="540"/>
      <c r="K1" s="540"/>
      <c r="L1" s="540"/>
      <c r="M1" s="540"/>
      <c r="N1" s="540"/>
      <c r="O1" s="431"/>
      <c r="P1" s="432"/>
    </row>
    <row r="2" spans="1:16" ht="24" customHeight="1" thickBot="1">
      <c r="A2" s="434"/>
      <c r="B2" s="436"/>
      <c r="C2" s="435"/>
      <c r="D2" s="435"/>
      <c r="E2" s="564" t="s">
        <v>306</v>
      </c>
      <c r="F2" s="564"/>
      <c r="G2" s="564"/>
      <c r="H2" s="564"/>
      <c r="I2" s="564"/>
      <c r="J2" s="564"/>
      <c r="K2" s="564"/>
      <c r="L2" s="564"/>
      <c r="M2" s="564"/>
      <c r="N2" s="564"/>
      <c r="O2" s="431"/>
      <c r="P2" s="434"/>
    </row>
    <row r="3" spans="1:18" ht="17.25" customHeight="1">
      <c r="A3" s="556" t="s">
        <v>236</v>
      </c>
      <c r="B3" s="557"/>
      <c r="C3" s="565" t="s">
        <v>292</v>
      </c>
      <c r="D3" s="565"/>
      <c r="E3" s="565" t="s">
        <v>293</v>
      </c>
      <c r="F3" s="565"/>
      <c r="G3" s="545" t="s">
        <v>294</v>
      </c>
      <c r="H3" s="545"/>
      <c r="I3" s="545" t="s">
        <v>295</v>
      </c>
      <c r="J3" s="545"/>
      <c r="K3" s="545" t="s">
        <v>296</v>
      </c>
      <c r="L3" s="545"/>
      <c r="M3" s="545" t="s">
        <v>297</v>
      </c>
      <c r="N3" s="545"/>
      <c r="O3" s="545" t="s">
        <v>9</v>
      </c>
      <c r="P3" s="545"/>
      <c r="Q3" s="526" t="s">
        <v>310</v>
      </c>
      <c r="R3" s="432"/>
    </row>
    <row r="4" spans="1:18" ht="16.5" customHeight="1">
      <c r="A4" s="558"/>
      <c r="B4" s="559"/>
      <c r="C4" s="437" t="s">
        <v>214</v>
      </c>
      <c r="D4" s="437" t="s">
        <v>26</v>
      </c>
      <c r="E4" s="437" t="s">
        <v>214</v>
      </c>
      <c r="F4" s="437" t="s">
        <v>26</v>
      </c>
      <c r="G4" s="437" t="s">
        <v>214</v>
      </c>
      <c r="H4" s="437" t="s">
        <v>26</v>
      </c>
      <c r="I4" s="437" t="s">
        <v>214</v>
      </c>
      <c r="J4" s="437" t="s">
        <v>26</v>
      </c>
      <c r="K4" s="437" t="s">
        <v>214</v>
      </c>
      <c r="L4" s="437" t="s">
        <v>26</v>
      </c>
      <c r="M4" s="437" t="s">
        <v>214</v>
      </c>
      <c r="N4" s="437" t="s">
        <v>26</v>
      </c>
      <c r="O4" s="437" t="s">
        <v>214</v>
      </c>
      <c r="P4" s="437" t="s">
        <v>26</v>
      </c>
      <c r="Q4" s="527"/>
      <c r="R4" s="432"/>
    </row>
    <row r="5" spans="1:18" s="442" customFormat="1" ht="12.75" customHeight="1">
      <c r="A5" s="566">
        <v>1</v>
      </c>
      <c r="B5" s="567"/>
      <c r="C5" s="520">
        <v>2</v>
      </c>
      <c r="D5" s="520">
        <v>3</v>
      </c>
      <c r="E5" s="521">
        <v>4</v>
      </c>
      <c r="F5" s="521">
        <v>5</v>
      </c>
      <c r="G5" s="521">
        <v>6</v>
      </c>
      <c r="H5" s="521">
        <v>7</v>
      </c>
      <c r="I5" s="521">
        <v>8</v>
      </c>
      <c r="J5" s="521">
        <v>9</v>
      </c>
      <c r="K5" s="520">
        <v>10</v>
      </c>
      <c r="L5" s="520">
        <v>11</v>
      </c>
      <c r="M5" s="520">
        <v>12</v>
      </c>
      <c r="N5" s="520">
        <v>13</v>
      </c>
      <c r="O5" s="520">
        <v>14</v>
      </c>
      <c r="P5" s="520">
        <v>15</v>
      </c>
      <c r="Q5" s="527"/>
      <c r="R5" s="432"/>
    </row>
    <row r="6" spans="1:18" s="460" customFormat="1" ht="21" customHeight="1">
      <c r="A6" s="552" t="s">
        <v>234</v>
      </c>
      <c r="B6" s="456" t="s">
        <v>12</v>
      </c>
      <c r="C6" s="463">
        <v>0</v>
      </c>
      <c r="D6" s="463">
        <v>0</v>
      </c>
      <c r="E6" s="465">
        <v>0</v>
      </c>
      <c r="F6" s="465">
        <v>0</v>
      </c>
      <c r="G6" s="465">
        <v>0</v>
      </c>
      <c r="H6" s="465">
        <v>0</v>
      </c>
      <c r="I6" s="465">
        <v>0</v>
      </c>
      <c r="J6" s="465">
        <v>0</v>
      </c>
      <c r="K6" s="463">
        <v>0</v>
      </c>
      <c r="L6" s="463">
        <v>0</v>
      </c>
      <c r="M6" s="463">
        <v>0</v>
      </c>
      <c r="N6" s="463">
        <v>0</v>
      </c>
      <c r="O6" s="463">
        <f aca="true" t="shared" si="0" ref="O6:O17">SUM(C6+E6+G6+I6+K6+M6)</f>
        <v>0</v>
      </c>
      <c r="P6" s="463">
        <f aca="true" t="shared" si="1" ref="P6:P17">SUM(D6+F6+H6+J6+L6+N6)</f>
        <v>0</v>
      </c>
      <c r="Q6" s="528">
        <f aca="true" t="shared" si="2" ref="Q6:Q17">SUM(O6+P6)</f>
        <v>0</v>
      </c>
      <c r="R6" s="510"/>
    </row>
    <row r="7" spans="1:18" s="509" customFormat="1" ht="21.75" customHeight="1">
      <c r="A7" s="552"/>
      <c r="B7" s="506" t="s">
        <v>267</v>
      </c>
      <c r="C7" s="507">
        <v>902.486</v>
      </c>
      <c r="D7" s="507">
        <v>655.243</v>
      </c>
      <c r="E7" s="508">
        <v>1058.943</v>
      </c>
      <c r="F7" s="508">
        <v>764.479</v>
      </c>
      <c r="G7" s="508">
        <v>1000.924</v>
      </c>
      <c r="H7" s="508">
        <v>751.92</v>
      </c>
      <c r="I7" s="508">
        <v>993.455</v>
      </c>
      <c r="J7" s="508">
        <v>724.538</v>
      </c>
      <c r="K7" s="507">
        <v>1033.272</v>
      </c>
      <c r="L7" s="507">
        <v>754.798</v>
      </c>
      <c r="M7" s="507">
        <v>1017.711</v>
      </c>
      <c r="N7" s="507">
        <v>754.483</v>
      </c>
      <c r="O7" s="507">
        <f t="shared" si="0"/>
        <v>6006.791</v>
      </c>
      <c r="P7" s="507">
        <f t="shared" si="1"/>
        <v>4405.461</v>
      </c>
      <c r="Q7" s="528">
        <f t="shared" si="2"/>
        <v>10412.252</v>
      </c>
      <c r="R7" s="511"/>
    </row>
    <row r="8" spans="1:18" s="509" customFormat="1" ht="21.75" customHeight="1">
      <c r="A8" s="552"/>
      <c r="B8" s="506" t="s">
        <v>268</v>
      </c>
      <c r="C8" s="507">
        <v>97.136</v>
      </c>
      <c r="D8" s="507">
        <v>8.011</v>
      </c>
      <c r="E8" s="508">
        <v>158.163</v>
      </c>
      <c r="F8" s="508">
        <v>22.2</v>
      </c>
      <c r="G8" s="508">
        <v>185.8</v>
      </c>
      <c r="H8" s="508">
        <v>28.7</v>
      </c>
      <c r="I8" s="508">
        <v>213.8</v>
      </c>
      <c r="J8" s="508">
        <v>31.69</v>
      </c>
      <c r="K8" s="507">
        <v>212.708</v>
      </c>
      <c r="L8" s="507">
        <v>31.005</v>
      </c>
      <c r="M8" s="507">
        <v>226.8</v>
      </c>
      <c r="N8" s="507">
        <v>29.551</v>
      </c>
      <c r="O8" s="507">
        <f t="shared" si="0"/>
        <v>1094.4070000000002</v>
      </c>
      <c r="P8" s="507">
        <f t="shared" si="1"/>
        <v>151.15699999999998</v>
      </c>
      <c r="Q8" s="528">
        <f t="shared" si="2"/>
        <v>1245.564</v>
      </c>
      <c r="R8" s="511"/>
    </row>
    <row r="9" spans="1:18" s="460" customFormat="1" ht="19.5" customHeight="1">
      <c r="A9" s="552"/>
      <c r="B9" s="456" t="s">
        <v>13</v>
      </c>
      <c r="C9" s="463">
        <v>0</v>
      </c>
      <c r="D9" s="463">
        <v>0</v>
      </c>
      <c r="E9" s="465">
        <v>0</v>
      </c>
      <c r="F9" s="465">
        <v>0</v>
      </c>
      <c r="G9" s="465">
        <v>0</v>
      </c>
      <c r="H9" s="465">
        <v>0</v>
      </c>
      <c r="I9" s="465">
        <v>0</v>
      </c>
      <c r="J9" s="465">
        <v>0</v>
      </c>
      <c r="K9" s="463">
        <v>0</v>
      </c>
      <c r="L9" s="463">
        <v>0</v>
      </c>
      <c r="M9" s="463">
        <v>0</v>
      </c>
      <c r="N9" s="463">
        <v>0</v>
      </c>
      <c r="O9" s="463">
        <f t="shared" si="0"/>
        <v>0</v>
      </c>
      <c r="P9" s="463">
        <f t="shared" si="1"/>
        <v>0</v>
      </c>
      <c r="Q9" s="528">
        <f t="shared" si="2"/>
        <v>0</v>
      </c>
      <c r="R9" s="510"/>
    </row>
    <row r="10" spans="1:18" s="505" customFormat="1" ht="21.75" customHeight="1">
      <c r="A10" s="552"/>
      <c r="B10" s="502" t="s">
        <v>192</v>
      </c>
      <c r="C10" s="503">
        <v>0</v>
      </c>
      <c r="D10" s="503">
        <v>1825</v>
      </c>
      <c r="E10" s="504">
        <v>0</v>
      </c>
      <c r="F10" s="504">
        <v>1581.277</v>
      </c>
      <c r="G10" s="504">
        <v>0</v>
      </c>
      <c r="H10" s="504">
        <v>1825</v>
      </c>
      <c r="I10" s="504">
        <v>0</v>
      </c>
      <c r="J10" s="504">
        <v>1715.2</v>
      </c>
      <c r="K10" s="503">
        <v>71</v>
      </c>
      <c r="L10" s="503">
        <v>1778</v>
      </c>
      <c r="M10" s="503">
        <v>5</v>
      </c>
      <c r="N10" s="503">
        <v>1554</v>
      </c>
      <c r="O10" s="503">
        <f t="shared" si="0"/>
        <v>76</v>
      </c>
      <c r="P10" s="503">
        <f t="shared" si="1"/>
        <v>10278.476999999999</v>
      </c>
      <c r="Q10" s="528">
        <f t="shared" si="2"/>
        <v>10354.476999999999</v>
      </c>
      <c r="R10" s="512"/>
    </row>
    <row r="11" spans="1:18" s="460" customFormat="1" ht="19.5" customHeight="1">
      <c r="A11" s="552"/>
      <c r="B11" s="456" t="s">
        <v>196</v>
      </c>
      <c r="C11" s="463">
        <v>0</v>
      </c>
      <c r="D11" s="463">
        <v>0</v>
      </c>
      <c r="E11" s="465">
        <v>0</v>
      </c>
      <c r="F11" s="465">
        <v>0</v>
      </c>
      <c r="G11" s="465">
        <v>0</v>
      </c>
      <c r="H11" s="465">
        <v>0</v>
      </c>
      <c r="I11" s="465">
        <v>0</v>
      </c>
      <c r="J11" s="465">
        <v>0</v>
      </c>
      <c r="K11" s="463">
        <v>0</v>
      </c>
      <c r="L11" s="463">
        <v>0</v>
      </c>
      <c r="M11" s="463">
        <v>0</v>
      </c>
      <c r="N11" s="463">
        <v>0</v>
      </c>
      <c r="O11" s="463">
        <f t="shared" si="0"/>
        <v>0</v>
      </c>
      <c r="P11" s="463">
        <f t="shared" si="1"/>
        <v>0</v>
      </c>
      <c r="Q11" s="528">
        <f t="shared" si="2"/>
        <v>0</v>
      </c>
      <c r="R11" s="510"/>
    </row>
    <row r="12" spans="1:18" s="460" customFormat="1" ht="20.25" customHeight="1">
      <c r="A12" s="552"/>
      <c r="B12" s="456" t="s">
        <v>14</v>
      </c>
      <c r="C12" s="463">
        <v>0</v>
      </c>
      <c r="D12" s="463">
        <v>0</v>
      </c>
      <c r="E12" s="465">
        <v>0</v>
      </c>
      <c r="F12" s="465">
        <v>0</v>
      </c>
      <c r="G12" s="465">
        <v>0</v>
      </c>
      <c r="H12" s="465">
        <v>0</v>
      </c>
      <c r="I12" s="465">
        <v>0</v>
      </c>
      <c r="J12" s="465">
        <v>0</v>
      </c>
      <c r="K12" s="463">
        <v>0</v>
      </c>
      <c r="L12" s="463">
        <v>0</v>
      </c>
      <c r="M12" s="463">
        <v>0</v>
      </c>
      <c r="N12" s="463">
        <v>0</v>
      </c>
      <c r="O12" s="463">
        <f t="shared" si="0"/>
        <v>0</v>
      </c>
      <c r="P12" s="463">
        <f t="shared" si="1"/>
        <v>0</v>
      </c>
      <c r="Q12" s="528">
        <f t="shared" si="2"/>
        <v>0</v>
      </c>
      <c r="R12" s="510"/>
    </row>
    <row r="13" spans="1:18" s="460" customFormat="1" ht="25.5" customHeight="1">
      <c r="A13" s="552"/>
      <c r="B13" s="456" t="s">
        <v>245</v>
      </c>
      <c r="C13" s="463">
        <v>0</v>
      </c>
      <c r="D13" s="463">
        <v>0</v>
      </c>
      <c r="E13" s="465">
        <v>0</v>
      </c>
      <c r="F13" s="465">
        <v>0</v>
      </c>
      <c r="G13" s="465">
        <v>0</v>
      </c>
      <c r="H13" s="465">
        <v>0</v>
      </c>
      <c r="I13" s="465">
        <v>0</v>
      </c>
      <c r="J13" s="465">
        <v>0</v>
      </c>
      <c r="K13" s="463">
        <v>0</v>
      </c>
      <c r="L13" s="463">
        <v>0</v>
      </c>
      <c r="M13" s="463">
        <v>0</v>
      </c>
      <c r="N13" s="463">
        <v>0</v>
      </c>
      <c r="O13" s="463">
        <f t="shared" si="0"/>
        <v>0</v>
      </c>
      <c r="P13" s="463">
        <f t="shared" si="1"/>
        <v>0</v>
      </c>
      <c r="Q13" s="528">
        <f t="shared" si="2"/>
        <v>0</v>
      </c>
      <c r="R13" s="510"/>
    </row>
    <row r="14" spans="1:18" s="501" customFormat="1" ht="20.25" customHeight="1">
      <c r="A14" s="552"/>
      <c r="B14" s="498" t="s">
        <v>282</v>
      </c>
      <c r="C14" s="499">
        <v>0</v>
      </c>
      <c r="D14" s="499">
        <v>0</v>
      </c>
      <c r="E14" s="500">
        <v>0</v>
      </c>
      <c r="F14" s="500">
        <v>0</v>
      </c>
      <c r="G14" s="500">
        <v>23187.63</v>
      </c>
      <c r="H14" s="500">
        <v>0</v>
      </c>
      <c r="I14" s="500">
        <v>23166.85</v>
      </c>
      <c r="J14" s="500">
        <v>0</v>
      </c>
      <c r="K14" s="499">
        <v>23211.94</v>
      </c>
      <c r="L14" s="499">
        <v>0</v>
      </c>
      <c r="M14" s="499">
        <v>0.18</v>
      </c>
      <c r="N14" s="499">
        <v>0</v>
      </c>
      <c r="O14" s="499">
        <f t="shared" si="0"/>
        <v>69566.59999999999</v>
      </c>
      <c r="P14" s="499">
        <f t="shared" si="1"/>
        <v>0</v>
      </c>
      <c r="Q14" s="528">
        <f t="shared" si="2"/>
        <v>69566.59999999999</v>
      </c>
      <c r="R14" s="513"/>
    </row>
    <row r="15" spans="1:18" s="460" customFormat="1" ht="18.75" customHeight="1">
      <c r="A15" s="552"/>
      <c r="B15" s="456" t="s">
        <v>289</v>
      </c>
      <c r="C15" s="463">
        <v>0</v>
      </c>
      <c r="D15" s="463">
        <v>0</v>
      </c>
      <c r="E15" s="465">
        <v>0</v>
      </c>
      <c r="F15" s="465">
        <v>0</v>
      </c>
      <c r="G15" s="465">
        <v>0</v>
      </c>
      <c r="H15" s="465">
        <v>0</v>
      </c>
      <c r="I15" s="465">
        <v>0</v>
      </c>
      <c r="J15" s="465">
        <v>0</v>
      </c>
      <c r="K15" s="463">
        <v>0</v>
      </c>
      <c r="L15" s="463">
        <v>0</v>
      </c>
      <c r="M15" s="463">
        <v>0</v>
      </c>
      <c r="N15" s="463">
        <v>0</v>
      </c>
      <c r="O15" s="463">
        <f t="shared" si="0"/>
        <v>0</v>
      </c>
      <c r="P15" s="463">
        <f t="shared" si="1"/>
        <v>0</v>
      </c>
      <c r="Q15" s="528">
        <f t="shared" si="2"/>
        <v>0</v>
      </c>
      <c r="R15" s="510"/>
    </row>
    <row r="16" spans="1:18" s="460" customFormat="1" ht="21" customHeight="1">
      <c r="A16" s="552"/>
      <c r="B16" s="456" t="s">
        <v>197</v>
      </c>
      <c r="C16" s="463">
        <v>3.9</v>
      </c>
      <c r="D16" s="463">
        <v>3.4</v>
      </c>
      <c r="E16" s="465">
        <v>4.4</v>
      </c>
      <c r="F16" s="465">
        <v>4</v>
      </c>
      <c r="G16" s="465">
        <v>4.4</v>
      </c>
      <c r="H16" s="465">
        <v>4</v>
      </c>
      <c r="I16" s="465">
        <v>4</v>
      </c>
      <c r="J16" s="465">
        <v>3.6</v>
      </c>
      <c r="K16" s="463">
        <v>4</v>
      </c>
      <c r="L16" s="463">
        <v>3.6</v>
      </c>
      <c r="M16" s="463">
        <v>9.3</v>
      </c>
      <c r="N16" s="463">
        <v>3.9</v>
      </c>
      <c r="O16" s="463">
        <f t="shared" si="0"/>
        <v>30.000000000000004</v>
      </c>
      <c r="P16" s="463">
        <f t="shared" si="1"/>
        <v>22.5</v>
      </c>
      <c r="Q16" s="528">
        <f t="shared" si="2"/>
        <v>52.5</v>
      </c>
      <c r="R16" s="510"/>
    </row>
    <row r="17" spans="1:18" s="460" customFormat="1" ht="18.75" customHeight="1">
      <c r="A17" s="552"/>
      <c r="B17" s="456" t="s">
        <v>15</v>
      </c>
      <c r="C17" s="463">
        <v>0</v>
      </c>
      <c r="D17" s="463">
        <v>0</v>
      </c>
      <c r="E17" s="465">
        <v>0</v>
      </c>
      <c r="F17" s="465">
        <v>0</v>
      </c>
      <c r="G17" s="465">
        <v>0</v>
      </c>
      <c r="H17" s="465">
        <v>0</v>
      </c>
      <c r="I17" s="465">
        <v>0</v>
      </c>
      <c r="J17" s="465">
        <v>0</v>
      </c>
      <c r="K17" s="463">
        <v>0</v>
      </c>
      <c r="L17" s="463">
        <v>0</v>
      </c>
      <c r="M17" s="463">
        <v>0</v>
      </c>
      <c r="N17" s="463">
        <v>0</v>
      </c>
      <c r="O17" s="463">
        <f t="shared" si="0"/>
        <v>0</v>
      </c>
      <c r="P17" s="463">
        <f t="shared" si="1"/>
        <v>0</v>
      </c>
      <c r="Q17" s="528">
        <f t="shared" si="2"/>
        <v>0</v>
      </c>
      <c r="R17" s="510"/>
    </row>
    <row r="18" spans="1:18" s="469" customFormat="1" ht="22.5" customHeight="1">
      <c r="A18" s="552"/>
      <c r="B18" s="456" t="s">
        <v>237</v>
      </c>
      <c r="C18" s="465">
        <f aca="true" t="shared" si="3" ref="C18:O18">SUM(C6:C17)</f>
        <v>1003.5219999999999</v>
      </c>
      <c r="D18" s="465">
        <f t="shared" si="3"/>
        <v>2491.654</v>
      </c>
      <c r="E18" s="465">
        <f t="shared" si="3"/>
        <v>1221.506</v>
      </c>
      <c r="F18" s="465">
        <f t="shared" si="3"/>
        <v>2371.956</v>
      </c>
      <c r="G18" s="465">
        <f t="shared" si="3"/>
        <v>24378.754</v>
      </c>
      <c r="H18" s="483">
        <f t="shared" si="3"/>
        <v>2609.62</v>
      </c>
      <c r="I18" s="465">
        <f t="shared" si="3"/>
        <v>24378.105</v>
      </c>
      <c r="J18" s="465">
        <f t="shared" si="3"/>
        <v>2475.028</v>
      </c>
      <c r="K18" s="465">
        <f t="shared" si="3"/>
        <v>24532.92</v>
      </c>
      <c r="L18" s="465">
        <f t="shared" si="3"/>
        <v>2567.403</v>
      </c>
      <c r="M18" s="465">
        <f t="shared" si="3"/>
        <v>1258.991</v>
      </c>
      <c r="N18" s="465">
        <f t="shared" si="3"/>
        <v>2341.934</v>
      </c>
      <c r="O18" s="465">
        <f t="shared" si="3"/>
        <v>76773.798</v>
      </c>
      <c r="P18" s="463">
        <f>SUM(D18+F18+H18+J18+L18+N18)</f>
        <v>14857.595000000001</v>
      </c>
      <c r="Q18" s="464">
        <f>SUM(E18+G18+I18+K18+M18+O18)</f>
        <v>152544.074</v>
      </c>
      <c r="R18" s="514"/>
    </row>
    <row r="19" spans="1:18" s="460" customFormat="1" ht="21" customHeight="1">
      <c r="A19" s="459"/>
      <c r="B19" s="456" t="s">
        <v>238</v>
      </c>
      <c r="C19" s="463">
        <v>525</v>
      </c>
      <c r="D19" s="463">
        <v>300</v>
      </c>
      <c r="E19" s="465">
        <v>414.668</v>
      </c>
      <c r="F19" s="465">
        <v>156.723</v>
      </c>
      <c r="G19" s="465">
        <v>525</v>
      </c>
      <c r="H19" s="465">
        <v>300</v>
      </c>
      <c r="I19" s="465">
        <v>525</v>
      </c>
      <c r="J19" s="465">
        <v>301</v>
      </c>
      <c r="K19" s="463">
        <v>435</v>
      </c>
      <c r="L19" s="463">
        <v>249</v>
      </c>
      <c r="M19" s="463">
        <v>525</v>
      </c>
      <c r="N19" s="463">
        <v>301</v>
      </c>
      <c r="O19" s="463">
        <f aca="true" t="shared" si="4" ref="O19:O28">SUM(C19+E19+G19+I19+K19+M19)</f>
        <v>2949.668</v>
      </c>
      <c r="P19" s="463">
        <f aca="true" t="shared" si="5" ref="P19:P28">SUM(D19+F19+H19+J19+L19+N19)</f>
        <v>1607.723</v>
      </c>
      <c r="Q19" s="528">
        <f aca="true" t="shared" si="6" ref="Q19:Q28">SUM(O19+P19)</f>
        <v>4557.391</v>
      </c>
      <c r="R19" s="510"/>
    </row>
    <row r="20" spans="1:18" s="460" customFormat="1" ht="21" customHeight="1">
      <c r="A20" s="552" t="s">
        <v>235</v>
      </c>
      <c r="B20" s="456" t="s">
        <v>16</v>
      </c>
      <c r="C20" s="463">
        <v>0</v>
      </c>
      <c r="D20" s="463">
        <v>0</v>
      </c>
      <c r="E20" s="465">
        <v>0</v>
      </c>
      <c r="F20" s="465">
        <v>0</v>
      </c>
      <c r="G20" s="465">
        <v>0</v>
      </c>
      <c r="H20" s="465">
        <v>0</v>
      </c>
      <c r="I20" s="465">
        <v>0</v>
      </c>
      <c r="J20" s="465">
        <v>0</v>
      </c>
      <c r="K20" s="463">
        <v>52.138</v>
      </c>
      <c r="L20" s="463">
        <v>0</v>
      </c>
      <c r="M20" s="463">
        <v>1736.451</v>
      </c>
      <c r="N20" s="463">
        <v>0</v>
      </c>
      <c r="O20" s="463">
        <f t="shared" si="4"/>
        <v>1788.589</v>
      </c>
      <c r="P20" s="463">
        <f t="shared" si="5"/>
        <v>0</v>
      </c>
      <c r="Q20" s="528">
        <f t="shared" si="6"/>
        <v>1788.589</v>
      </c>
      <c r="R20" s="510"/>
    </row>
    <row r="21" spans="1:18" s="460" customFormat="1" ht="21.75" customHeight="1">
      <c r="A21" s="554"/>
      <c r="B21" s="456" t="s">
        <v>17</v>
      </c>
      <c r="C21" s="463">
        <v>0</v>
      </c>
      <c r="D21" s="463">
        <v>0</v>
      </c>
      <c r="E21" s="465">
        <v>0</v>
      </c>
      <c r="F21" s="465">
        <v>0</v>
      </c>
      <c r="G21" s="465">
        <v>0</v>
      </c>
      <c r="H21" s="465">
        <v>0</v>
      </c>
      <c r="I21" s="465">
        <v>0</v>
      </c>
      <c r="J21" s="465">
        <v>0</v>
      </c>
      <c r="K21" s="463">
        <v>0</v>
      </c>
      <c r="L21" s="463">
        <v>0</v>
      </c>
      <c r="M21" s="463">
        <v>0</v>
      </c>
      <c r="N21" s="463">
        <v>0</v>
      </c>
      <c r="O21" s="463">
        <f t="shared" si="4"/>
        <v>0</v>
      </c>
      <c r="P21" s="463">
        <f t="shared" si="5"/>
        <v>0</v>
      </c>
      <c r="Q21" s="528">
        <f t="shared" si="6"/>
        <v>0</v>
      </c>
      <c r="R21" s="510"/>
    </row>
    <row r="22" spans="1:18" s="460" customFormat="1" ht="21" customHeight="1">
      <c r="A22" s="554"/>
      <c r="B22" s="456" t="s">
        <v>198</v>
      </c>
      <c r="C22" s="463">
        <v>0</v>
      </c>
      <c r="D22" s="463">
        <v>0</v>
      </c>
      <c r="E22" s="465">
        <v>58.35</v>
      </c>
      <c r="F22" s="465">
        <v>0</v>
      </c>
      <c r="G22" s="465">
        <v>13036.123</v>
      </c>
      <c r="H22" s="465">
        <v>0</v>
      </c>
      <c r="I22" s="465">
        <v>4363.571</v>
      </c>
      <c r="J22" s="465">
        <v>0</v>
      </c>
      <c r="K22" s="463">
        <v>4351.211</v>
      </c>
      <c r="L22" s="463">
        <v>0</v>
      </c>
      <c r="M22" s="463">
        <v>4363.061</v>
      </c>
      <c r="N22" s="463">
        <v>0</v>
      </c>
      <c r="O22" s="463">
        <f t="shared" si="4"/>
        <v>26172.316</v>
      </c>
      <c r="P22" s="463">
        <f t="shared" si="5"/>
        <v>0</v>
      </c>
      <c r="Q22" s="528">
        <f t="shared" si="6"/>
        <v>26172.316</v>
      </c>
      <c r="R22" s="510"/>
    </row>
    <row r="23" spans="1:18" s="460" customFormat="1" ht="20.25" customHeight="1">
      <c r="A23" s="554"/>
      <c r="B23" s="456" t="s">
        <v>176</v>
      </c>
      <c r="C23" s="463">
        <v>1350.578</v>
      </c>
      <c r="D23" s="463">
        <v>0</v>
      </c>
      <c r="E23" s="465">
        <v>199.715</v>
      </c>
      <c r="F23" s="465">
        <v>0</v>
      </c>
      <c r="G23" s="465">
        <v>349.91</v>
      </c>
      <c r="H23" s="465">
        <v>0</v>
      </c>
      <c r="I23" s="465">
        <v>1775.674</v>
      </c>
      <c r="J23" s="465">
        <v>0</v>
      </c>
      <c r="K23" s="463">
        <v>188.74</v>
      </c>
      <c r="L23" s="463">
        <v>0</v>
      </c>
      <c r="M23" s="463">
        <v>448.77</v>
      </c>
      <c r="N23" s="463">
        <v>0</v>
      </c>
      <c r="O23" s="463">
        <f t="shared" si="4"/>
        <v>4313.387000000001</v>
      </c>
      <c r="P23" s="463">
        <f t="shared" si="5"/>
        <v>0</v>
      </c>
      <c r="Q23" s="528">
        <f t="shared" si="6"/>
        <v>4313.387000000001</v>
      </c>
      <c r="R23" s="510"/>
    </row>
    <row r="24" spans="1:18" s="460" customFormat="1" ht="22.5" customHeight="1">
      <c r="A24" s="554"/>
      <c r="B24" s="456" t="s">
        <v>199</v>
      </c>
      <c r="C24" s="463">
        <v>4628.565</v>
      </c>
      <c r="D24" s="463">
        <v>0</v>
      </c>
      <c r="E24" s="465">
        <v>15304.845</v>
      </c>
      <c r="F24" s="465">
        <v>0</v>
      </c>
      <c r="G24" s="465">
        <v>0</v>
      </c>
      <c r="H24" s="465">
        <v>0</v>
      </c>
      <c r="I24" s="465">
        <v>109.42</v>
      </c>
      <c r="J24" s="465">
        <v>0</v>
      </c>
      <c r="K24" s="463">
        <v>0</v>
      </c>
      <c r="L24" s="463">
        <v>0</v>
      </c>
      <c r="M24" s="463">
        <v>0</v>
      </c>
      <c r="N24" s="463">
        <v>0</v>
      </c>
      <c r="O24" s="463">
        <f t="shared" si="4"/>
        <v>20042.829999999998</v>
      </c>
      <c r="P24" s="463">
        <f t="shared" si="5"/>
        <v>0</v>
      </c>
      <c r="Q24" s="528">
        <f t="shared" si="6"/>
        <v>20042.829999999998</v>
      </c>
      <c r="R24" s="510"/>
    </row>
    <row r="25" spans="1:18" s="460" customFormat="1" ht="16.5" customHeight="1">
      <c r="A25" s="554"/>
      <c r="B25" s="456" t="s">
        <v>200</v>
      </c>
      <c r="C25" s="463">
        <v>0</v>
      </c>
      <c r="D25" s="463">
        <v>0</v>
      </c>
      <c r="E25" s="465">
        <v>0</v>
      </c>
      <c r="F25" s="465">
        <v>0</v>
      </c>
      <c r="G25" s="465">
        <v>0</v>
      </c>
      <c r="H25" s="465">
        <v>0</v>
      </c>
      <c r="I25" s="465">
        <v>0</v>
      </c>
      <c r="J25" s="465">
        <v>0</v>
      </c>
      <c r="K25" s="463">
        <v>0</v>
      </c>
      <c r="L25" s="463">
        <v>0</v>
      </c>
      <c r="M25" s="463">
        <v>0</v>
      </c>
      <c r="N25" s="463">
        <v>0</v>
      </c>
      <c r="O25" s="463">
        <f t="shared" si="4"/>
        <v>0</v>
      </c>
      <c r="P25" s="463">
        <f t="shared" si="5"/>
        <v>0</v>
      </c>
      <c r="Q25" s="528">
        <f t="shared" si="6"/>
        <v>0</v>
      </c>
      <c r="R25" s="510"/>
    </row>
    <row r="26" spans="1:18" s="460" customFormat="1" ht="18.75" customHeight="1">
      <c r="A26" s="554"/>
      <c r="B26" s="456" t="s">
        <v>284</v>
      </c>
      <c r="C26" s="463">
        <v>0</v>
      </c>
      <c r="D26" s="463">
        <v>0</v>
      </c>
      <c r="E26" s="465">
        <v>0</v>
      </c>
      <c r="F26" s="465">
        <v>0</v>
      </c>
      <c r="G26" s="465">
        <v>0</v>
      </c>
      <c r="H26" s="465">
        <v>0</v>
      </c>
      <c r="I26" s="465">
        <v>0</v>
      </c>
      <c r="J26" s="465">
        <v>0</v>
      </c>
      <c r="K26" s="463">
        <v>0</v>
      </c>
      <c r="L26" s="463">
        <v>0</v>
      </c>
      <c r="M26" s="463">
        <v>0</v>
      </c>
      <c r="N26" s="463">
        <v>0</v>
      </c>
      <c r="O26" s="463">
        <f t="shared" si="4"/>
        <v>0</v>
      </c>
      <c r="P26" s="463">
        <f t="shared" si="5"/>
        <v>0</v>
      </c>
      <c r="Q26" s="528">
        <f t="shared" si="6"/>
        <v>0</v>
      </c>
      <c r="R26" s="510"/>
    </row>
    <row r="27" spans="1:18" s="460" customFormat="1" ht="20.25" customHeight="1">
      <c r="A27" s="554"/>
      <c r="B27" s="456" t="s">
        <v>201</v>
      </c>
      <c r="C27" s="463">
        <v>0</v>
      </c>
      <c r="D27" s="463">
        <v>0</v>
      </c>
      <c r="E27" s="465">
        <v>0</v>
      </c>
      <c r="F27" s="465">
        <v>0</v>
      </c>
      <c r="G27" s="465">
        <v>0</v>
      </c>
      <c r="H27" s="465">
        <v>0</v>
      </c>
      <c r="I27" s="465">
        <v>0</v>
      </c>
      <c r="J27" s="465">
        <v>0</v>
      </c>
      <c r="K27" s="463">
        <v>0</v>
      </c>
      <c r="L27" s="463">
        <v>0</v>
      </c>
      <c r="M27" s="463">
        <v>0</v>
      </c>
      <c r="N27" s="463">
        <v>0</v>
      </c>
      <c r="O27" s="463">
        <f t="shared" si="4"/>
        <v>0</v>
      </c>
      <c r="P27" s="463">
        <f t="shared" si="5"/>
        <v>0</v>
      </c>
      <c r="Q27" s="528">
        <f t="shared" si="6"/>
        <v>0</v>
      </c>
      <c r="R27" s="510"/>
    </row>
    <row r="28" spans="1:18" s="460" customFormat="1" ht="21.75" customHeight="1">
      <c r="A28" s="554"/>
      <c r="B28" s="456" t="s">
        <v>283</v>
      </c>
      <c r="C28" s="463">
        <v>0</v>
      </c>
      <c r="D28" s="463">
        <v>0</v>
      </c>
      <c r="E28" s="465">
        <v>0</v>
      </c>
      <c r="F28" s="465">
        <v>0</v>
      </c>
      <c r="G28" s="465">
        <v>0</v>
      </c>
      <c r="H28" s="465">
        <v>0</v>
      </c>
      <c r="I28" s="465">
        <v>0</v>
      </c>
      <c r="J28" s="465">
        <v>0</v>
      </c>
      <c r="K28" s="463">
        <v>0</v>
      </c>
      <c r="L28" s="463">
        <v>435.172</v>
      </c>
      <c r="M28" s="463">
        <v>0</v>
      </c>
      <c r="N28" s="463">
        <v>1054.25</v>
      </c>
      <c r="O28" s="463">
        <f t="shared" si="4"/>
        <v>0</v>
      </c>
      <c r="P28" s="463">
        <f t="shared" si="5"/>
        <v>1489.422</v>
      </c>
      <c r="Q28" s="528">
        <f t="shared" si="6"/>
        <v>1489.422</v>
      </c>
      <c r="R28" s="510"/>
    </row>
    <row r="29" spans="1:18" s="489" customFormat="1" ht="21.75" customHeight="1">
      <c r="A29" s="554"/>
      <c r="B29" s="522" t="s">
        <v>239</v>
      </c>
      <c r="C29" s="523">
        <f aca="true" t="shared" si="7" ref="C29:Q29">SUM(C20:C28)</f>
        <v>5979.143</v>
      </c>
      <c r="D29" s="523">
        <f t="shared" si="7"/>
        <v>0</v>
      </c>
      <c r="E29" s="524">
        <f t="shared" si="7"/>
        <v>15562.91</v>
      </c>
      <c r="F29" s="524">
        <f t="shared" si="7"/>
        <v>0</v>
      </c>
      <c r="G29" s="524">
        <f t="shared" si="7"/>
        <v>13386.033</v>
      </c>
      <c r="H29" s="524">
        <f t="shared" si="7"/>
        <v>0</v>
      </c>
      <c r="I29" s="524">
        <f t="shared" si="7"/>
        <v>6248.665</v>
      </c>
      <c r="J29" s="524">
        <f t="shared" si="7"/>
        <v>0</v>
      </c>
      <c r="K29" s="523">
        <f t="shared" si="7"/>
        <v>4592.089</v>
      </c>
      <c r="L29" s="523">
        <f t="shared" si="7"/>
        <v>435.172</v>
      </c>
      <c r="M29" s="523">
        <f t="shared" si="7"/>
        <v>6548.281999999999</v>
      </c>
      <c r="N29" s="523">
        <f t="shared" si="7"/>
        <v>1054.25</v>
      </c>
      <c r="O29" s="523">
        <f t="shared" si="7"/>
        <v>52317.122</v>
      </c>
      <c r="P29" s="523">
        <f t="shared" si="7"/>
        <v>1489.422</v>
      </c>
      <c r="Q29" s="529">
        <f t="shared" si="7"/>
        <v>53806.544</v>
      </c>
      <c r="R29" s="515"/>
    </row>
    <row r="30" spans="1:18" s="492" customFormat="1" ht="20.25" customHeight="1">
      <c r="A30" s="561" t="s">
        <v>286</v>
      </c>
      <c r="B30" s="562"/>
      <c r="C30" s="490">
        <f aca="true" t="shared" si="8" ref="C30:P30">C18+C19+C29</f>
        <v>7507.665</v>
      </c>
      <c r="D30" s="490">
        <f t="shared" si="8"/>
        <v>2791.654</v>
      </c>
      <c r="E30" s="490">
        <f t="shared" si="8"/>
        <v>17199.084</v>
      </c>
      <c r="F30" s="491">
        <f t="shared" si="8"/>
        <v>2528.679</v>
      </c>
      <c r="G30" s="490">
        <f t="shared" si="8"/>
        <v>38289.787</v>
      </c>
      <c r="H30" s="490">
        <f t="shared" si="8"/>
        <v>2909.62</v>
      </c>
      <c r="I30" s="490">
        <f t="shared" si="8"/>
        <v>31151.77</v>
      </c>
      <c r="J30" s="490">
        <f t="shared" si="8"/>
        <v>2776.028</v>
      </c>
      <c r="K30" s="490">
        <f t="shared" si="8"/>
        <v>29560.009</v>
      </c>
      <c r="L30" s="490">
        <f t="shared" si="8"/>
        <v>3251.575</v>
      </c>
      <c r="M30" s="490">
        <f t="shared" si="8"/>
        <v>8332.273</v>
      </c>
      <c r="N30" s="490">
        <f t="shared" si="8"/>
        <v>3697.184</v>
      </c>
      <c r="O30" s="490">
        <f t="shared" si="8"/>
        <v>132040.588</v>
      </c>
      <c r="P30" s="490">
        <f t="shared" si="8"/>
        <v>17954.739999999998</v>
      </c>
      <c r="Q30" s="528">
        <f aca="true" t="shared" si="9" ref="Q30:Q37">SUM(O30+P30)</f>
        <v>149995.32799999998</v>
      </c>
      <c r="R30" s="516"/>
    </row>
    <row r="31" spans="1:18" s="461" customFormat="1" ht="19.5" customHeight="1">
      <c r="A31" s="554"/>
      <c r="B31" s="456" t="s">
        <v>10</v>
      </c>
      <c r="C31" s="463">
        <v>66934.575</v>
      </c>
      <c r="D31" s="487">
        <v>15059.896</v>
      </c>
      <c r="E31" s="465">
        <v>33349.489</v>
      </c>
      <c r="F31" s="465">
        <v>2570.912</v>
      </c>
      <c r="G31" s="465">
        <v>43597.37</v>
      </c>
      <c r="H31" s="465">
        <v>1807.995</v>
      </c>
      <c r="I31" s="465">
        <v>18103.425</v>
      </c>
      <c r="J31" s="525">
        <v>6155.266</v>
      </c>
      <c r="K31" s="463">
        <v>11655.318</v>
      </c>
      <c r="L31" s="463">
        <v>6369.788</v>
      </c>
      <c r="M31" s="463">
        <v>9546.718</v>
      </c>
      <c r="N31" s="463">
        <v>7307.421</v>
      </c>
      <c r="O31" s="463">
        <f aca="true" t="shared" si="10" ref="O31:P37">SUM(C31+E31+G31+I31+K31+M31)</f>
        <v>183186.895</v>
      </c>
      <c r="P31" s="463">
        <f t="shared" si="10"/>
        <v>39271.278</v>
      </c>
      <c r="Q31" s="528">
        <f t="shared" si="9"/>
        <v>222458.17299999998</v>
      </c>
      <c r="R31" s="517"/>
    </row>
    <row r="32" spans="1:18" s="461" customFormat="1" ht="19.5" customHeight="1">
      <c r="A32" s="554"/>
      <c r="B32" s="456" t="s">
        <v>291</v>
      </c>
      <c r="C32" s="463">
        <v>7505.102</v>
      </c>
      <c r="D32" s="463">
        <v>0</v>
      </c>
      <c r="E32" s="465">
        <v>16958.905</v>
      </c>
      <c r="F32" s="465">
        <v>0</v>
      </c>
      <c r="G32" s="465">
        <v>14191.547</v>
      </c>
      <c r="H32" s="465">
        <v>0</v>
      </c>
      <c r="I32" s="465">
        <v>24604.354</v>
      </c>
      <c r="J32" s="465">
        <v>0</v>
      </c>
      <c r="K32" s="463">
        <v>721.151</v>
      </c>
      <c r="L32" s="463">
        <v>0</v>
      </c>
      <c r="M32" s="463">
        <v>40.3</v>
      </c>
      <c r="N32" s="463">
        <v>0</v>
      </c>
      <c r="O32" s="463">
        <f t="shared" si="10"/>
        <v>64021.359</v>
      </c>
      <c r="P32" s="463">
        <f t="shared" si="10"/>
        <v>0</v>
      </c>
      <c r="Q32" s="528">
        <f t="shared" si="9"/>
        <v>64021.359</v>
      </c>
      <c r="R32" s="517"/>
    </row>
    <row r="33" spans="1:18" s="466" customFormat="1" ht="20.25" customHeight="1">
      <c r="A33" s="554"/>
      <c r="B33" s="456" t="s">
        <v>285</v>
      </c>
      <c r="C33" s="463">
        <f aca="true" t="shared" si="11" ref="C33:N33">SUM(C31:C32)</f>
        <v>74439.677</v>
      </c>
      <c r="D33" s="463">
        <f t="shared" si="11"/>
        <v>15059.896</v>
      </c>
      <c r="E33" s="463">
        <f t="shared" si="11"/>
        <v>50308.394</v>
      </c>
      <c r="F33" s="463">
        <f t="shared" si="11"/>
        <v>2570.912</v>
      </c>
      <c r="G33" s="463">
        <f t="shared" si="11"/>
        <v>57788.917</v>
      </c>
      <c r="H33" s="463">
        <f t="shared" si="11"/>
        <v>1807.995</v>
      </c>
      <c r="I33" s="463">
        <f t="shared" si="11"/>
        <v>42707.778999999995</v>
      </c>
      <c r="J33" s="463">
        <f t="shared" si="11"/>
        <v>6155.266</v>
      </c>
      <c r="K33" s="463">
        <f t="shared" si="11"/>
        <v>12376.469</v>
      </c>
      <c r="L33" s="463">
        <f t="shared" si="11"/>
        <v>6369.788</v>
      </c>
      <c r="M33" s="463">
        <f t="shared" si="11"/>
        <v>9587.018</v>
      </c>
      <c r="N33" s="463">
        <f t="shared" si="11"/>
        <v>7307.421</v>
      </c>
      <c r="O33" s="463">
        <f t="shared" si="10"/>
        <v>247208.25400000002</v>
      </c>
      <c r="P33" s="463">
        <f t="shared" si="10"/>
        <v>39271.278</v>
      </c>
      <c r="Q33" s="528">
        <f t="shared" si="9"/>
        <v>286479.532</v>
      </c>
      <c r="R33" s="518"/>
    </row>
    <row r="34" spans="1:18" s="466" customFormat="1" ht="19.5" customHeight="1">
      <c r="A34" s="554"/>
      <c r="B34" s="456" t="s">
        <v>309</v>
      </c>
      <c r="C34" s="463">
        <v>77214.45</v>
      </c>
      <c r="D34" s="463">
        <v>4468.806</v>
      </c>
      <c r="E34" s="465">
        <v>60374.18</v>
      </c>
      <c r="F34" s="483">
        <v>98.971</v>
      </c>
      <c r="G34" s="483">
        <v>71667.292</v>
      </c>
      <c r="H34" s="465">
        <v>1193.548</v>
      </c>
      <c r="I34" s="465">
        <v>22205.205</v>
      </c>
      <c r="J34" s="465">
        <v>4247.214</v>
      </c>
      <c r="K34" s="463">
        <v>28194.772</v>
      </c>
      <c r="L34" s="463">
        <v>3636.117</v>
      </c>
      <c r="M34" s="463">
        <v>30163.293</v>
      </c>
      <c r="N34" s="463">
        <v>6712.896</v>
      </c>
      <c r="O34" s="463">
        <f t="shared" si="10"/>
        <v>289819.19200000004</v>
      </c>
      <c r="P34" s="463">
        <f t="shared" si="10"/>
        <v>20357.552</v>
      </c>
      <c r="Q34" s="528">
        <f t="shared" si="9"/>
        <v>310176.74400000006</v>
      </c>
      <c r="R34" s="518"/>
    </row>
    <row r="35" spans="1:18" s="497" customFormat="1" ht="21" customHeight="1">
      <c r="A35" s="554"/>
      <c r="B35" s="493" t="s">
        <v>11</v>
      </c>
      <c r="C35" s="494">
        <v>57101.79</v>
      </c>
      <c r="D35" s="494">
        <v>1913.6</v>
      </c>
      <c r="E35" s="495">
        <v>36434.24</v>
      </c>
      <c r="F35" s="496">
        <v>0</v>
      </c>
      <c r="G35" s="496">
        <v>16875.18</v>
      </c>
      <c r="H35" s="496">
        <v>0</v>
      </c>
      <c r="I35" s="496">
        <v>0</v>
      </c>
      <c r="J35" s="496">
        <v>0</v>
      </c>
      <c r="K35" s="494">
        <v>0</v>
      </c>
      <c r="L35" s="494">
        <v>0</v>
      </c>
      <c r="M35" s="494">
        <v>7949.76</v>
      </c>
      <c r="N35" s="494">
        <v>0</v>
      </c>
      <c r="O35" s="494">
        <f t="shared" si="10"/>
        <v>118360.96999999999</v>
      </c>
      <c r="P35" s="494">
        <f t="shared" si="10"/>
        <v>1913.6</v>
      </c>
      <c r="Q35" s="528">
        <f t="shared" si="9"/>
        <v>120274.56999999999</v>
      </c>
      <c r="R35" s="519"/>
    </row>
    <row r="36" spans="1:18" s="461" customFormat="1" ht="20.25" customHeight="1">
      <c r="A36" s="554"/>
      <c r="B36" s="456" t="s">
        <v>288</v>
      </c>
      <c r="C36" s="463">
        <v>193.272</v>
      </c>
      <c r="D36" s="463">
        <v>8.871</v>
      </c>
      <c r="E36" s="465">
        <v>240.03</v>
      </c>
      <c r="F36" s="465">
        <v>7.299</v>
      </c>
      <c r="G36" s="465">
        <v>389.963</v>
      </c>
      <c r="H36" s="465">
        <v>7.702</v>
      </c>
      <c r="I36" s="465">
        <v>182.536</v>
      </c>
      <c r="J36" s="465">
        <v>9.442</v>
      </c>
      <c r="K36" s="463">
        <v>193.285</v>
      </c>
      <c r="L36" s="463">
        <v>15.515</v>
      </c>
      <c r="M36" s="463">
        <v>144.566</v>
      </c>
      <c r="N36" s="463">
        <v>18.714</v>
      </c>
      <c r="O36" s="463">
        <f t="shared" si="10"/>
        <v>1343.6520000000003</v>
      </c>
      <c r="P36" s="463">
        <f t="shared" si="10"/>
        <v>67.543</v>
      </c>
      <c r="Q36" s="528">
        <f t="shared" si="9"/>
        <v>1411.1950000000002</v>
      </c>
      <c r="R36" s="517"/>
    </row>
    <row r="37" spans="1:18" s="461" customFormat="1" ht="25.5" customHeight="1" thickBot="1">
      <c r="A37" s="560"/>
      <c r="B37" s="462" t="s">
        <v>250</v>
      </c>
      <c r="C37" s="474">
        <v>77.958</v>
      </c>
      <c r="D37" s="474">
        <v>24.919</v>
      </c>
      <c r="E37" s="477">
        <v>38.618</v>
      </c>
      <c r="F37" s="477">
        <v>1.687</v>
      </c>
      <c r="G37" s="477">
        <v>50.555</v>
      </c>
      <c r="H37" s="477">
        <v>2.889</v>
      </c>
      <c r="I37" s="477">
        <v>20.964</v>
      </c>
      <c r="J37" s="477">
        <v>15.805</v>
      </c>
      <c r="K37" s="474">
        <v>14.191</v>
      </c>
      <c r="L37" s="474">
        <v>11.037</v>
      </c>
      <c r="M37" s="474">
        <v>11.131</v>
      </c>
      <c r="N37" s="474">
        <v>13.094</v>
      </c>
      <c r="O37" s="474">
        <f t="shared" si="10"/>
        <v>213.417</v>
      </c>
      <c r="P37" s="474">
        <f t="shared" si="10"/>
        <v>69.431</v>
      </c>
      <c r="Q37" s="530">
        <f t="shared" si="9"/>
        <v>282.848</v>
      </c>
      <c r="R37" s="517"/>
    </row>
    <row r="38" spans="1:16" ht="25.5" customHeight="1">
      <c r="A38" s="434"/>
      <c r="B38" s="434"/>
      <c r="C38" s="434"/>
      <c r="D38" s="434"/>
      <c r="E38" s="435"/>
      <c r="F38" s="435"/>
      <c r="G38" s="435"/>
      <c r="H38" s="435"/>
      <c r="I38" s="435"/>
      <c r="J38" s="435"/>
      <c r="K38" s="434"/>
      <c r="L38" s="434"/>
      <c r="M38" s="434"/>
      <c r="N38" s="434"/>
      <c r="O38" s="434"/>
      <c r="P38" s="434"/>
    </row>
    <row r="39" spans="1:16" ht="25.5" customHeight="1">
      <c r="A39" s="434"/>
      <c r="B39" s="434"/>
      <c r="C39" s="434"/>
      <c r="D39" s="434"/>
      <c r="E39" s="435"/>
      <c r="F39" s="435"/>
      <c r="G39" s="435"/>
      <c r="H39" s="435"/>
      <c r="I39" s="435"/>
      <c r="J39" s="435"/>
      <c r="K39" s="434"/>
      <c r="L39" s="434"/>
      <c r="M39" s="434"/>
      <c r="N39" s="434"/>
      <c r="O39" s="434"/>
      <c r="P39" s="434"/>
    </row>
    <row r="40" spans="1:16" ht="25.5" customHeight="1">
      <c r="A40" s="434"/>
      <c r="B40" s="434"/>
      <c r="C40" s="434"/>
      <c r="D40" s="434"/>
      <c r="E40" s="435"/>
      <c r="F40" s="435"/>
      <c r="G40" s="435"/>
      <c r="H40" s="435"/>
      <c r="I40" s="435"/>
      <c r="J40" s="435"/>
      <c r="K40" s="434"/>
      <c r="L40" s="434"/>
      <c r="M40" s="434"/>
      <c r="N40" s="434"/>
      <c r="O40" s="434"/>
      <c r="P40" s="434"/>
    </row>
    <row r="41" spans="1:16" ht="15.75" customHeight="1">
      <c r="A41" s="434"/>
      <c r="B41" s="434"/>
      <c r="C41" s="434"/>
      <c r="D41" s="434"/>
      <c r="E41" s="435"/>
      <c r="F41" s="435"/>
      <c r="G41" s="435"/>
      <c r="H41" s="435"/>
      <c r="I41" s="435"/>
      <c r="J41" s="435"/>
      <c r="K41" s="434"/>
      <c r="L41" s="434"/>
      <c r="M41" s="563" t="s">
        <v>307</v>
      </c>
      <c r="N41" s="563"/>
      <c r="O41" s="434"/>
      <c r="P41" s="434"/>
    </row>
    <row r="42" spans="1:16" ht="15.75" customHeight="1">
      <c r="A42" s="434"/>
      <c r="B42" s="434"/>
      <c r="C42" s="434"/>
      <c r="D42" s="434"/>
      <c r="E42" s="435"/>
      <c r="F42" s="435"/>
      <c r="G42" s="435"/>
      <c r="H42" s="435"/>
      <c r="I42" s="435"/>
      <c r="J42" s="435"/>
      <c r="K42" s="434"/>
      <c r="L42" s="434"/>
      <c r="M42" s="563" t="s">
        <v>308</v>
      </c>
      <c r="N42" s="563"/>
      <c r="O42" s="434"/>
      <c r="P42" s="434"/>
    </row>
    <row r="43" spans="1:16" ht="15.75" customHeight="1">
      <c r="A43" s="434"/>
      <c r="B43" s="434"/>
      <c r="C43" s="434"/>
      <c r="D43" s="434"/>
      <c r="E43" s="435"/>
      <c r="F43" s="435"/>
      <c r="G43" s="435"/>
      <c r="H43" s="435"/>
      <c r="I43" s="435"/>
      <c r="J43" s="435"/>
      <c r="K43" s="434"/>
      <c r="L43" s="434"/>
      <c r="M43" s="434"/>
      <c r="N43" s="434"/>
      <c r="O43" s="434"/>
      <c r="P43" s="434"/>
    </row>
    <row r="44" spans="1:16" ht="15.75" customHeight="1">
      <c r="A44" s="434"/>
      <c r="B44" s="434"/>
      <c r="C44" s="434"/>
      <c r="D44" s="434"/>
      <c r="E44" s="435"/>
      <c r="F44" s="435"/>
      <c r="G44" s="435"/>
      <c r="H44" s="435"/>
      <c r="I44" s="435"/>
      <c r="J44" s="435"/>
      <c r="K44" s="434"/>
      <c r="L44" s="434"/>
      <c r="M44" s="434"/>
      <c r="N44" s="434"/>
      <c r="O44" s="434"/>
      <c r="P44" s="434"/>
    </row>
    <row r="45" spans="1:16" ht="15.75" customHeight="1">
      <c r="A45" s="434"/>
      <c r="B45" s="434"/>
      <c r="C45" s="434"/>
      <c r="D45" s="434"/>
      <c r="E45" s="435"/>
      <c r="F45" s="435"/>
      <c r="G45" s="435"/>
      <c r="H45" s="435"/>
      <c r="I45" s="435"/>
      <c r="J45" s="435"/>
      <c r="K45" s="434"/>
      <c r="L45" s="434"/>
      <c r="M45" s="434"/>
      <c r="N45" s="434"/>
      <c r="O45" s="434"/>
      <c r="P45" s="434"/>
    </row>
    <row r="46" spans="1:16" ht="15.75" customHeight="1">
      <c r="A46" s="434"/>
      <c r="B46" s="434"/>
      <c r="C46" s="434"/>
      <c r="D46" s="434"/>
      <c r="E46" s="435"/>
      <c r="F46" s="435"/>
      <c r="G46" s="435"/>
      <c r="H46" s="435"/>
      <c r="I46" s="435"/>
      <c r="J46" s="435"/>
      <c r="K46" s="434"/>
      <c r="L46" s="434"/>
      <c r="M46" s="434"/>
      <c r="N46" s="434"/>
      <c r="O46" s="434"/>
      <c r="P46" s="434"/>
    </row>
    <row r="47" spans="1:16" ht="15.75" customHeight="1">
      <c r="A47" s="434"/>
      <c r="B47" s="434"/>
      <c r="C47" s="434"/>
      <c r="D47" s="434"/>
      <c r="E47" s="435"/>
      <c r="F47" s="435"/>
      <c r="G47" s="435"/>
      <c r="H47" s="435"/>
      <c r="I47" s="435"/>
      <c r="J47" s="435"/>
      <c r="K47" s="434"/>
      <c r="L47" s="434"/>
      <c r="M47" s="434"/>
      <c r="N47" s="434"/>
      <c r="O47" s="434"/>
      <c r="P47" s="434"/>
    </row>
    <row r="48" spans="1:16" ht="15.75" customHeight="1">
      <c r="A48" s="434"/>
      <c r="B48" s="445"/>
      <c r="C48" s="445"/>
      <c r="D48" s="445"/>
      <c r="E48" s="446"/>
      <c r="F48" s="446"/>
      <c r="G48" s="446"/>
      <c r="H48" s="446"/>
      <c r="I48" s="446"/>
      <c r="J48" s="446"/>
      <c r="K48" s="445"/>
      <c r="L48" s="445"/>
      <c r="M48" s="445"/>
      <c r="N48" s="445"/>
      <c r="O48" s="445"/>
      <c r="P48" s="434"/>
    </row>
    <row r="49" spans="1:16" ht="17.25" customHeight="1">
      <c r="A49" s="434"/>
      <c r="B49" s="447"/>
      <c r="C49" s="537"/>
      <c r="D49" s="537"/>
      <c r="E49" s="537"/>
      <c r="F49" s="448"/>
      <c r="G49" s="447"/>
      <c r="H49" s="447"/>
      <c r="I49" s="539" t="s">
        <v>20</v>
      </c>
      <c r="J49" s="539"/>
      <c r="K49" s="539"/>
      <c r="L49" s="449"/>
      <c r="M49" s="450"/>
      <c r="N49" s="450"/>
      <c r="O49" s="445"/>
      <c r="P49" s="443"/>
    </row>
    <row r="50" spans="1:16" ht="15" customHeight="1">
      <c r="A50" s="434"/>
      <c r="B50" s="447" t="s">
        <v>240</v>
      </c>
      <c r="C50" s="444"/>
      <c r="D50" s="444"/>
      <c r="E50" s="453" t="s">
        <v>194</v>
      </c>
      <c r="F50" s="453"/>
      <c r="G50" s="453"/>
      <c r="H50" s="453"/>
      <c r="I50" s="538" t="s">
        <v>269</v>
      </c>
      <c r="J50" s="538"/>
      <c r="K50" s="538"/>
      <c r="L50" s="445"/>
      <c r="M50" s="453"/>
      <c r="N50" s="453"/>
      <c r="O50" s="447"/>
      <c r="P50" s="432"/>
    </row>
    <row r="51" spans="1:16" ht="17.25" customHeight="1">
      <c r="A51" s="434"/>
      <c r="B51" s="536" t="s">
        <v>18</v>
      </c>
      <c r="C51" s="536"/>
      <c r="D51" s="454"/>
      <c r="E51" s="447"/>
      <c r="F51" s="447"/>
      <c r="G51" s="447"/>
      <c r="H51" s="447"/>
      <c r="I51" s="538" t="s">
        <v>244</v>
      </c>
      <c r="J51" s="538"/>
      <c r="K51" s="538"/>
      <c r="L51" s="445"/>
      <c r="M51" s="453"/>
      <c r="N51" s="453"/>
      <c r="O51" s="447"/>
      <c r="P51" s="432"/>
    </row>
    <row r="52" spans="1:16" ht="16.5" customHeight="1">
      <c r="A52" s="434"/>
      <c r="B52" s="536" t="s">
        <v>19</v>
      </c>
      <c r="C52" s="536"/>
      <c r="D52" s="454"/>
      <c r="E52" s="447"/>
      <c r="F52" s="447"/>
      <c r="G52" s="447"/>
      <c r="H52" s="447"/>
      <c r="I52" s="479" t="s">
        <v>22</v>
      </c>
      <c r="J52" s="479"/>
      <c r="K52" s="478"/>
      <c r="L52" s="445"/>
      <c r="M52" s="445"/>
      <c r="N52" s="445"/>
      <c r="O52" s="447"/>
      <c r="P52" s="432"/>
    </row>
    <row r="53" spans="2:15" ht="18.75" customHeight="1">
      <c r="B53" s="444"/>
      <c r="C53" s="444"/>
      <c r="D53" s="444"/>
      <c r="E53" s="444"/>
      <c r="F53" s="444"/>
      <c r="G53" s="444"/>
      <c r="H53" s="444"/>
      <c r="I53" s="479" t="s">
        <v>202</v>
      </c>
      <c r="J53" s="479"/>
      <c r="K53" s="480"/>
      <c r="L53" s="444"/>
      <c r="M53" s="444"/>
      <c r="N53" s="444"/>
      <c r="O53" s="444"/>
    </row>
    <row r="54" spans="9:11" ht="16.5">
      <c r="I54" s="481"/>
      <c r="J54" s="481"/>
      <c r="K54" s="481"/>
    </row>
  </sheetData>
  <sheetProtection/>
  <mergeCells count="23">
    <mergeCell ref="A31:A37"/>
    <mergeCell ref="A30:B30"/>
    <mergeCell ref="O3:P3"/>
    <mergeCell ref="A6:A18"/>
    <mergeCell ref="A20:A29"/>
    <mergeCell ref="M41:N41"/>
    <mergeCell ref="E1:N1"/>
    <mergeCell ref="E2:N2"/>
    <mergeCell ref="C3:D3"/>
    <mergeCell ref="E3:F3"/>
    <mergeCell ref="G3:H3"/>
    <mergeCell ref="I3:J3"/>
    <mergeCell ref="K3:L3"/>
    <mergeCell ref="M42:N42"/>
    <mergeCell ref="B52:C52"/>
    <mergeCell ref="C49:E49"/>
    <mergeCell ref="M3:N3"/>
    <mergeCell ref="A3:B4"/>
    <mergeCell ref="A5:B5"/>
    <mergeCell ref="I50:K50"/>
    <mergeCell ref="B51:C51"/>
    <mergeCell ref="I49:K49"/>
    <mergeCell ref="I51:K51"/>
  </mergeCells>
  <printOptions/>
  <pageMargins left="0.7874015748031497" right="0.3937007874015748" top="0.3937007874015748" bottom="0.3937007874015748" header="0.5118110236220472" footer="0.1968503937007874"/>
  <pageSetup horizontalDpi="600" verticalDpi="600" orientation="landscape" paperSize="9" scale="60" r:id="rId1"/>
  <headerFooter alignWithMargins="0">
    <oddFooter>&amp;L&amp;Z&amp;F&amp;R&amp;P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AF50"/>
  <sheetViews>
    <sheetView tabSelected="1" zoomScale="145" zoomScaleNormal="145" zoomScalePageLayoutView="0" workbookViewId="0" topLeftCell="A1">
      <pane xSplit="2" topLeftCell="I1" activePane="topRight" state="frozen"/>
      <selection pane="topLeft" activeCell="A1" sqref="A1"/>
      <selection pane="topRight" activeCell="L9" sqref="L9"/>
    </sheetView>
  </sheetViews>
  <sheetFormatPr defaultColWidth="9.140625" defaultRowHeight="12.75"/>
  <cols>
    <col min="1" max="1" width="3.7109375" style="433" customWidth="1"/>
    <col min="2" max="2" width="20.8515625" style="433" customWidth="1"/>
    <col min="3" max="3" width="11.00390625" style="433" customWidth="1"/>
    <col min="4" max="6" width="10.8515625" style="433" customWidth="1"/>
    <col min="7" max="8" width="9.7109375" style="433" customWidth="1"/>
    <col min="9" max="9" width="10.8515625" style="433" customWidth="1"/>
    <col min="10" max="11" width="10.00390625" style="433" customWidth="1"/>
    <col min="12" max="12" width="11.140625" style="433" customWidth="1"/>
    <col min="13" max="14" width="10.7109375" style="433" customWidth="1"/>
    <col min="15" max="15" width="11.421875" style="433" customWidth="1"/>
    <col min="16" max="17" width="10.00390625" style="433" customWidth="1"/>
    <col min="18" max="18" width="10.57421875" style="433" customWidth="1"/>
    <col min="19" max="20" width="10.00390625" style="433" customWidth="1"/>
    <col min="21" max="21" width="11.28125" style="433" customWidth="1"/>
    <col min="22" max="23" width="10.8515625" style="433" customWidth="1"/>
    <col min="24" max="24" width="11.00390625" style="433" customWidth="1"/>
    <col min="25" max="26" width="10.7109375" style="433" customWidth="1"/>
    <col min="27" max="27" width="11.140625" style="433" customWidth="1"/>
    <col min="28" max="29" width="9.7109375" style="433" customWidth="1"/>
    <col min="30" max="30" width="13.00390625" style="433" customWidth="1"/>
    <col min="31" max="31" width="11.8515625" style="433" customWidth="1"/>
    <col min="32" max="16384" width="9.140625" style="433" customWidth="1"/>
  </cols>
  <sheetData>
    <row r="1" spans="1:31" ht="21.75" customHeight="1">
      <c r="A1" s="432"/>
      <c r="B1" s="432"/>
      <c r="C1" s="432"/>
      <c r="D1" s="432"/>
      <c r="E1" s="432"/>
      <c r="F1" s="540" t="s">
        <v>290</v>
      </c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431"/>
      <c r="AE1" s="432"/>
    </row>
    <row r="2" spans="1:31" ht="24" customHeight="1">
      <c r="A2" s="434"/>
      <c r="B2" s="436"/>
      <c r="C2" s="435"/>
      <c r="D2" s="435"/>
      <c r="E2" s="435"/>
      <c r="F2" s="540" t="s">
        <v>316</v>
      </c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431"/>
      <c r="AE2" s="434"/>
    </row>
    <row r="3" spans="1:31" ht="6" customHeight="1">
      <c r="A3" s="434"/>
      <c r="B3" s="436"/>
      <c r="C3" s="435"/>
      <c r="D3" s="435"/>
      <c r="E3" s="435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31"/>
      <c r="AE3" s="434"/>
    </row>
    <row r="4" spans="1:32" ht="17.25" customHeight="1">
      <c r="A4" s="667" t="s">
        <v>236</v>
      </c>
      <c r="B4" s="667"/>
      <c r="C4" s="668" t="s">
        <v>5</v>
      </c>
      <c r="D4" s="669"/>
      <c r="E4" s="670"/>
      <c r="F4" s="668" t="s">
        <v>7</v>
      </c>
      <c r="G4" s="669"/>
      <c r="H4" s="670"/>
      <c r="I4" s="671" t="s">
        <v>1</v>
      </c>
      <c r="J4" s="672"/>
      <c r="K4" s="673"/>
      <c r="L4" s="671" t="s">
        <v>4</v>
      </c>
      <c r="M4" s="672"/>
      <c r="N4" s="673"/>
      <c r="O4" s="671" t="s">
        <v>3</v>
      </c>
      <c r="P4" s="672"/>
      <c r="Q4" s="673"/>
      <c r="R4" s="671" t="s">
        <v>2</v>
      </c>
      <c r="S4" s="672"/>
      <c r="T4" s="673"/>
      <c r="U4" s="671" t="s">
        <v>8</v>
      </c>
      <c r="V4" s="672"/>
      <c r="W4" s="673"/>
      <c r="X4" s="671" t="s">
        <v>313</v>
      </c>
      <c r="Y4" s="672"/>
      <c r="Z4" s="673"/>
      <c r="AA4" s="671" t="s">
        <v>314</v>
      </c>
      <c r="AB4" s="672"/>
      <c r="AC4" s="673"/>
      <c r="AD4" s="671" t="s">
        <v>9</v>
      </c>
      <c r="AE4" s="672"/>
      <c r="AF4" s="673"/>
    </row>
    <row r="5" spans="1:32" ht="16.5" customHeight="1">
      <c r="A5" s="667"/>
      <c r="B5" s="667"/>
      <c r="C5" s="652" t="s">
        <v>214</v>
      </c>
      <c r="D5" s="652" t="s">
        <v>26</v>
      </c>
      <c r="E5" s="652" t="s">
        <v>315</v>
      </c>
      <c r="F5" s="652" t="s">
        <v>214</v>
      </c>
      <c r="G5" s="652" t="s">
        <v>26</v>
      </c>
      <c r="H5" s="652" t="s">
        <v>315</v>
      </c>
      <c r="I5" s="652" t="s">
        <v>214</v>
      </c>
      <c r="J5" s="652" t="s">
        <v>26</v>
      </c>
      <c r="K5" s="652" t="s">
        <v>315</v>
      </c>
      <c r="L5" s="652" t="s">
        <v>214</v>
      </c>
      <c r="M5" s="652" t="s">
        <v>26</v>
      </c>
      <c r="N5" s="652" t="s">
        <v>315</v>
      </c>
      <c r="O5" s="652" t="s">
        <v>214</v>
      </c>
      <c r="P5" s="652" t="s">
        <v>26</v>
      </c>
      <c r="Q5" s="652" t="s">
        <v>315</v>
      </c>
      <c r="R5" s="652" t="s">
        <v>214</v>
      </c>
      <c r="S5" s="652" t="s">
        <v>26</v>
      </c>
      <c r="T5" s="652" t="s">
        <v>315</v>
      </c>
      <c r="U5" s="652" t="s">
        <v>214</v>
      </c>
      <c r="V5" s="652" t="s">
        <v>26</v>
      </c>
      <c r="W5" s="652" t="s">
        <v>315</v>
      </c>
      <c r="X5" s="652" t="s">
        <v>214</v>
      </c>
      <c r="Y5" s="652" t="s">
        <v>26</v>
      </c>
      <c r="Z5" s="652" t="s">
        <v>315</v>
      </c>
      <c r="AA5" s="652" t="s">
        <v>214</v>
      </c>
      <c r="AB5" s="652" t="s">
        <v>26</v>
      </c>
      <c r="AC5" s="652" t="s">
        <v>315</v>
      </c>
      <c r="AD5" s="652" t="s">
        <v>214</v>
      </c>
      <c r="AE5" s="652" t="s">
        <v>26</v>
      </c>
      <c r="AF5" s="652" t="s">
        <v>315</v>
      </c>
    </row>
    <row r="6" spans="1:32" s="651" customFormat="1" ht="12.75" customHeight="1">
      <c r="A6" s="653">
        <v>1</v>
      </c>
      <c r="B6" s="653"/>
      <c r="C6" s="654">
        <v>2</v>
      </c>
      <c r="D6" s="654">
        <v>3</v>
      </c>
      <c r="E6" s="654">
        <v>4</v>
      </c>
      <c r="F6" s="655">
        <v>5</v>
      </c>
      <c r="G6" s="655">
        <v>6</v>
      </c>
      <c r="H6" s="655">
        <v>7</v>
      </c>
      <c r="I6" s="655">
        <v>8</v>
      </c>
      <c r="J6" s="655">
        <v>9</v>
      </c>
      <c r="K6" s="655">
        <v>10</v>
      </c>
      <c r="L6" s="655">
        <v>11</v>
      </c>
      <c r="M6" s="655">
        <v>12</v>
      </c>
      <c r="N6" s="655">
        <v>13</v>
      </c>
      <c r="O6" s="654">
        <v>14</v>
      </c>
      <c r="P6" s="654">
        <v>15</v>
      </c>
      <c r="Q6" s="654">
        <v>16</v>
      </c>
      <c r="R6" s="654">
        <v>17</v>
      </c>
      <c r="S6" s="654">
        <v>18</v>
      </c>
      <c r="T6" s="654">
        <v>19</v>
      </c>
      <c r="U6" s="654">
        <v>20</v>
      </c>
      <c r="V6" s="654">
        <v>21</v>
      </c>
      <c r="W6" s="654">
        <v>22</v>
      </c>
      <c r="X6" s="654">
        <v>23</v>
      </c>
      <c r="Y6" s="654">
        <v>24</v>
      </c>
      <c r="Z6" s="654">
        <v>25</v>
      </c>
      <c r="AA6" s="654">
        <v>26</v>
      </c>
      <c r="AB6" s="654">
        <v>27</v>
      </c>
      <c r="AC6" s="654">
        <v>28</v>
      </c>
      <c r="AD6" s="654">
        <v>29</v>
      </c>
      <c r="AE6" s="654">
        <v>30</v>
      </c>
      <c r="AF6" s="650">
        <v>31</v>
      </c>
    </row>
    <row r="7" spans="1:32" s="460" customFormat="1" ht="25.5" customHeight="1">
      <c r="A7" s="656" t="s">
        <v>234</v>
      </c>
      <c r="B7" s="437" t="s">
        <v>12</v>
      </c>
      <c r="C7" s="657">
        <v>0</v>
      </c>
      <c r="D7" s="657">
        <v>0</v>
      </c>
      <c r="E7" s="657">
        <v>0</v>
      </c>
      <c r="F7" s="658">
        <v>0</v>
      </c>
      <c r="G7" s="658">
        <v>0</v>
      </c>
      <c r="H7" s="658"/>
      <c r="I7" s="658">
        <v>0</v>
      </c>
      <c r="J7" s="658">
        <v>0</v>
      </c>
      <c r="K7" s="658"/>
      <c r="L7" s="658">
        <v>0</v>
      </c>
      <c r="M7" s="658">
        <v>0</v>
      </c>
      <c r="N7" s="658"/>
      <c r="O7" s="657">
        <v>0</v>
      </c>
      <c r="P7" s="657">
        <v>0</v>
      </c>
      <c r="Q7" s="657"/>
      <c r="R7" s="657">
        <v>0</v>
      </c>
      <c r="S7" s="657">
        <v>0</v>
      </c>
      <c r="T7" s="657"/>
      <c r="U7" s="657">
        <v>0</v>
      </c>
      <c r="V7" s="657">
        <v>0</v>
      </c>
      <c r="W7" s="657"/>
      <c r="X7" s="657">
        <v>0</v>
      </c>
      <c r="Y7" s="657">
        <v>0</v>
      </c>
      <c r="Z7" s="657"/>
      <c r="AA7" s="657">
        <v>0</v>
      </c>
      <c r="AB7" s="657">
        <v>0</v>
      </c>
      <c r="AC7" s="657"/>
      <c r="AD7" s="657">
        <f>SUM(C7+F7+I7+L7+O7+R7+U7+X7+AA7)</f>
        <v>0</v>
      </c>
      <c r="AE7" s="657">
        <f>SUM(D7+G7+J7+M7+P7+S7+V7+Y7+AB7)</f>
        <v>0</v>
      </c>
      <c r="AF7" s="657">
        <f>SUM(E7+H7+K7+N7+Q7+T7+W7+Z7+AC7)</f>
        <v>0</v>
      </c>
    </row>
    <row r="8" spans="1:32" s="460" customFormat="1" ht="25.5" customHeight="1">
      <c r="A8" s="656"/>
      <c r="B8" s="437" t="s">
        <v>267</v>
      </c>
      <c r="C8" s="657">
        <v>0</v>
      </c>
      <c r="D8" s="657">
        <v>0</v>
      </c>
      <c r="E8" s="657">
        <v>0</v>
      </c>
      <c r="F8" s="658">
        <v>0</v>
      </c>
      <c r="G8" s="658">
        <v>0</v>
      </c>
      <c r="H8" s="658">
        <v>0</v>
      </c>
      <c r="I8" s="658">
        <v>0</v>
      </c>
      <c r="J8" s="658">
        <v>0</v>
      </c>
      <c r="K8" s="658">
        <v>0</v>
      </c>
      <c r="L8" s="658">
        <v>0</v>
      </c>
      <c r="M8" s="658">
        <v>0</v>
      </c>
      <c r="N8" s="658">
        <v>0</v>
      </c>
      <c r="O8" s="657">
        <v>0</v>
      </c>
      <c r="P8" s="657">
        <v>0</v>
      </c>
      <c r="Q8" s="657">
        <v>0</v>
      </c>
      <c r="R8" s="657">
        <v>0</v>
      </c>
      <c r="S8" s="657">
        <v>0</v>
      </c>
      <c r="T8" s="657">
        <v>0</v>
      </c>
      <c r="U8" s="657">
        <v>0</v>
      </c>
      <c r="V8" s="657">
        <v>0</v>
      </c>
      <c r="W8" s="657">
        <v>0</v>
      </c>
      <c r="X8" s="657">
        <v>0</v>
      </c>
      <c r="Y8" s="657">
        <v>0</v>
      </c>
      <c r="Z8" s="657">
        <v>0</v>
      </c>
      <c r="AA8" s="657">
        <v>0</v>
      </c>
      <c r="AB8" s="657">
        <v>0</v>
      </c>
      <c r="AC8" s="657">
        <v>0</v>
      </c>
      <c r="AD8" s="657">
        <f aca="true" t="shared" si="0" ref="AD8:AD38">SUM(C8+F8+I8+L8+O8+R8+U8+X8+AA8)</f>
        <v>0</v>
      </c>
      <c r="AE8" s="657">
        <f aca="true" t="shared" si="1" ref="AE8:AF38">SUM(D8+G8+J8+M8+P8+S8+V8+Y8+AB8)</f>
        <v>0</v>
      </c>
      <c r="AF8" s="657">
        <f aca="true" t="shared" si="2" ref="AF8:AF38">SUM(E8+H8+K8+N8+Q8+T8+W8+Z8+AC8)</f>
        <v>0</v>
      </c>
    </row>
    <row r="9" spans="1:32" s="460" customFormat="1" ht="25.5" customHeight="1">
      <c r="A9" s="656"/>
      <c r="B9" s="437" t="s">
        <v>268</v>
      </c>
      <c r="C9" s="657">
        <v>0</v>
      </c>
      <c r="D9" s="657">
        <v>0</v>
      </c>
      <c r="E9" s="657">
        <v>0</v>
      </c>
      <c r="F9" s="658">
        <v>0</v>
      </c>
      <c r="G9" s="658">
        <v>0</v>
      </c>
      <c r="H9" s="658">
        <v>0</v>
      </c>
      <c r="I9" s="658">
        <v>0</v>
      </c>
      <c r="J9" s="658">
        <v>0</v>
      </c>
      <c r="K9" s="658">
        <v>0</v>
      </c>
      <c r="L9" s="658">
        <v>0</v>
      </c>
      <c r="M9" s="658">
        <v>0</v>
      </c>
      <c r="N9" s="658">
        <v>0</v>
      </c>
      <c r="O9" s="657">
        <v>0</v>
      </c>
      <c r="P9" s="657">
        <v>0</v>
      </c>
      <c r="Q9" s="657">
        <v>0</v>
      </c>
      <c r="R9" s="657">
        <v>0</v>
      </c>
      <c r="S9" s="657">
        <v>0</v>
      </c>
      <c r="T9" s="657">
        <v>0</v>
      </c>
      <c r="U9" s="657">
        <v>0</v>
      </c>
      <c r="V9" s="657">
        <v>0</v>
      </c>
      <c r="W9" s="657">
        <v>0</v>
      </c>
      <c r="X9" s="657">
        <v>0</v>
      </c>
      <c r="Y9" s="657">
        <v>0</v>
      </c>
      <c r="Z9" s="657">
        <v>0</v>
      </c>
      <c r="AA9" s="657">
        <v>0</v>
      </c>
      <c r="AB9" s="657">
        <v>0</v>
      </c>
      <c r="AC9" s="657">
        <v>0</v>
      </c>
      <c r="AD9" s="657">
        <f t="shared" si="0"/>
        <v>0</v>
      </c>
      <c r="AE9" s="657">
        <f t="shared" si="1"/>
        <v>0</v>
      </c>
      <c r="AF9" s="657">
        <f t="shared" si="2"/>
        <v>0</v>
      </c>
    </row>
    <row r="10" spans="1:32" s="460" customFormat="1" ht="25.5" customHeight="1">
      <c r="A10" s="656"/>
      <c r="B10" s="437" t="s">
        <v>13</v>
      </c>
      <c r="C10" s="657">
        <v>0</v>
      </c>
      <c r="D10" s="657">
        <v>0</v>
      </c>
      <c r="E10" s="657">
        <v>0</v>
      </c>
      <c r="F10" s="658">
        <v>0</v>
      </c>
      <c r="G10" s="658">
        <v>0</v>
      </c>
      <c r="H10" s="658">
        <v>0</v>
      </c>
      <c r="I10" s="658">
        <v>0</v>
      </c>
      <c r="J10" s="658">
        <v>0</v>
      </c>
      <c r="K10" s="658">
        <v>0</v>
      </c>
      <c r="L10" s="658">
        <v>0</v>
      </c>
      <c r="M10" s="658">
        <v>0</v>
      </c>
      <c r="N10" s="658">
        <v>0</v>
      </c>
      <c r="O10" s="657">
        <v>0</v>
      </c>
      <c r="P10" s="657">
        <v>0</v>
      </c>
      <c r="Q10" s="657">
        <v>0</v>
      </c>
      <c r="R10" s="657">
        <v>0</v>
      </c>
      <c r="S10" s="657">
        <v>0</v>
      </c>
      <c r="T10" s="657">
        <v>0</v>
      </c>
      <c r="U10" s="657">
        <v>0</v>
      </c>
      <c r="V10" s="657">
        <v>0</v>
      </c>
      <c r="W10" s="657">
        <v>0</v>
      </c>
      <c r="X10" s="657">
        <v>0</v>
      </c>
      <c r="Y10" s="657">
        <v>0</v>
      </c>
      <c r="Z10" s="657">
        <v>0</v>
      </c>
      <c r="AA10" s="657">
        <v>0</v>
      </c>
      <c r="AB10" s="657">
        <v>0</v>
      </c>
      <c r="AC10" s="657">
        <v>0</v>
      </c>
      <c r="AD10" s="657">
        <f t="shared" si="0"/>
        <v>0</v>
      </c>
      <c r="AE10" s="657">
        <f t="shared" si="1"/>
        <v>0</v>
      </c>
      <c r="AF10" s="657">
        <f t="shared" si="2"/>
        <v>0</v>
      </c>
    </row>
    <row r="11" spans="1:32" s="460" customFormat="1" ht="25.5" customHeight="1">
      <c r="A11" s="656"/>
      <c r="B11" s="437" t="s">
        <v>192</v>
      </c>
      <c r="C11" s="657">
        <v>0</v>
      </c>
      <c r="D11" s="657">
        <v>0</v>
      </c>
      <c r="E11" s="657">
        <v>0</v>
      </c>
      <c r="F11" s="658">
        <v>0</v>
      </c>
      <c r="G11" s="658">
        <v>0</v>
      </c>
      <c r="H11" s="658">
        <v>0</v>
      </c>
      <c r="I11" s="658">
        <v>0</v>
      </c>
      <c r="J11" s="658">
        <v>0</v>
      </c>
      <c r="K11" s="658">
        <v>0</v>
      </c>
      <c r="L11" s="658">
        <v>0</v>
      </c>
      <c r="M11" s="658">
        <v>0</v>
      </c>
      <c r="N11" s="658">
        <v>0</v>
      </c>
      <c r="O11" s="657">
        <v>0</v>
      </c>
      <c r="P11" s="657">
        <v>0</v>
      </c>
      <c r="Q11" s="657">
        <v>0</v>
      </c>
      <c r="R11" s="657">
        <v>0</v>
      </c>
      <c r="S11" s="657">
        <v>0</v>
      </c>
      <c r="T11" s="657">
        <v>0</v>
      </c>
      <c r="U11" s="657">
        <v>0</v>
      </c>
      <c r="V11" s="657">
        <v>0</v>
      </c>
      <c r="W11" s="657">
        <v>0</v>
      </c>
      <c r="X11" s="657">
        <v>0</v>
      </c>
      <c r="Y11" s="657">
        <v>0</v>
      </c>
      <c r="Z11" s="657">
        <v>0</v>
      </c>
      <c r="AA11" s="657">
        <v>0</v>
      </c>
      <c r="AB11" s="657">
        <v>0</v>
      </c>
      <c r="AC11" s="657">
        <v>0</v>
      </c>
      <c r="AD11" s="657">
        <f t="shared" si="0"/>
        <v>0</v>
      </c>
      <c r="AE11" s="657">
        <f t="shared" si="1"/>
        <v>0</v>
      </c>
      <c r="AF11" s="657">
        <f t="shared" si="2"/>
        <v>0</v>
      </c>
    </row>
    <row r="12" spans="1:32" s="460" customFormat="1" ht="25.5" customHeight="1">
      <c r="A12" s="656"/>
      <c r="B12" s="437" t="s">
        <v>196</v>
      </c>
      <c r="C12" s="657">
        <v>0</v>
      </c>
      <c r="D12" s="657">
        <v>0</v>
      </c>
      <c r="E12" s="657">
        <v>0</v>
      </c>
      <c r="F12" s="658">
        <v>0</v>
      </c>
      <c r="G12" s="658">
        <v>0</v>
      </c>
      <c r="H12" s="658">
        <v>0</v>
      </c>
      <c r="I12" s="658">
        <v>0</v>
      </c>
      <c r="J12" s="658">
        <v>0</v>
      </c>
      <c r="K12" s="658">
        <v>0</v>
      </c>
      <c r="L12" s="658">
        <v>0</v>
      </c>
      <c r="M12" s="658">
        <v>0</v>
      </c>
      <c r="N12" s="658">
        <v>0</v>
      </c>
      <c r="O12" s="657">
        <v>0</v>
      </c>
      <c r="P12" s="657">
        <v>0</v>
      </c>
      <c r="Q12" s="657">
        <v>0</v>
      </c>
      <c r="R12" s="657">
        <v>0</v>
      </c>
      <c r="S12" s="657">
        <v>0</v>
      </c>
      <c r="T12" s="657">
        <v>0</v>
      </c>
      <c r="U12" s="657">
        <v>0</v>
      </c>
      <c r="V12" s="657">
        <v>0</v>
      </c>
      <c r="W12" s="657">
        <v>0</v>
      </c>
      <c r="X12" s="657">
        <v>0</v>
      </c>
      <c r="Y12" s="657">
        <v>0</v>
      </c>
      <c r="Z12" s="657">
        <v>0</v>
      </c>
      <c r="AA12" s="657">
        <v>0</v>
      </c>
      <c r="AB12" s="657">
        <v>0</v>
      </c>
      <c r="AC12" s="657">
        <v>0</v>
      </c>
      <c r="AD12" s="657">
        <f t="shared" si="0"/>
        <v>0</v>
      </c>
      <c r="AE12" s="657">
        <f t="shared" si="1"/>
        <v>0</v>
      </c>
      <c r="AF12" s="657">
        <f t="shared" si="2"/>
        <v>0</v>
      </c>
    </row>
    <row r="13" spans="1:32" s="460" customFormat="1" ht="25.5" customHeight="1">
      <c r="A13" s="656"/>
      <c r="B13" s="437" t="s">
        <v>14</v>
      </c>
      <c r="C13" s="657">
        <v>0</v>
      </c>
      <c r="D13" s="657">
        <v>0</v>
      </c>
      <c r="E13" s="657">
        <v>0</v>
      </c>
      <c r="F13" s="658">
        <v>0</v>
      </c>
      <c r="G13" s="658">
        <v>0</v>
      </c>
      <c r="H13" s="658">
        <v>0</v>
      </c>
      <c r="I13" s="658">
        <v>0</v>
      </c>
      <c r="J13" s="658">
        <v>0</v>
      </c>
      <c r="K13" s="658">
        <v>0</v>
      </c>
      <c r="L13" s="658">
        <v>0</v>
      </c>
      <c r="M13" s="658">
        <v>0</v>
      </c>
      <c r="N13" s="658">
        <v>0</v>
      </c>
      <c r="O13" s="657">
        <v>0</v>
      </c>
      <c r="P13" s="657">
        <v>0</v>
      </c>
      <c r="Q13" s="657">
        <v>0</v>
      </c>
      <c r="R13" s="657">
        <v>0</v>
      </c>
      <c r="S13" s="657">
        <v>0</v>
      </c>
      <c r="T13" s="657">
        <v>0</v>
      </c>
      <c r="U13" s="657">
        <v>0</v>
      </c>
      <c r="V13" s="657">
        <v>0</v>
      </c>
      <c r="W13" s="657">
        <v>0</v>
      </c>
      <c r="X13" s="657">
        <v>0</v>
      </c>
      <c r="Y13" s="657">
        <v>0</v>
      </c>
      <c r="Z13" s="657">
        <v>0</v>
      </c>
      <c r="AA13" s="657">
        <v>0</v>
      </c>
      <c r="AB13" s="657">
        <v>0</v>
      </c>
      <c r="AC13" s="657">
        <v>0</v>
      </c>
      <c r="AD13" s="657">
        <f t="shared" si="0"/>
        <v>0</v>
      </c>
      <c r="AE13" s="657">
        <f t="shared" si="1"/>
        <v>0</v>
      </c>
      <c r="AF13" s="657">
        <f t="shared" si="2"/>
        <v>0</v>
      </c>
    </row>
    <row r="14" spans="1:32" s="460" customFormat="1" ht="25.5" customHeight="1">
      <c r="A14" s="656"/>
      <c r="B14" s="437" t="s">
        <v>245</v>
      </c>
      <c r="C14" s="657">
        <v>0</v>
      </c>
      <c r="D14" s="657">
        <v>0</v>
      </c>
      <c r="E14" s="657">
        <v>0</v>
      </c>
      <c r="F14" s="658">
        <v>0</v>
      </c>
      <c r="G14" s="658">
        <v>0</v>
      </c>
      <c r="H14" s="658">
        <v>0</v>
      </c>
      <c r="I14" s="658">
        <v>0</v>
      </c>
      <c r="J14" s="658">
        <v>0</v>
      </c>
      <c r="K14" s="658">
        <v>0</v>
      </c>
      <c r="L14" s="658">
        <v>0</v>
      </c>
      <c r="M14" s="658">
        <v>0</v>
      </c>
      <c r="N14" s="658">
        <v>0</v>
      </c>
      <c r="O14" s="657">
        <v>0</v>
      </c>
      <c r="P14" s="657">
        <v>0</v>
      </c>
      <c r="Q14" s="657">
        <v>0</v>
      </c>
      <c r="R14" s="657">
        <v>0</v>
      </c>
      <c r="S14" s="657">
        <v>0</v>
      </c>
      <c r="T14" s="657">
        <v>0</v>
      </c>
      <c r="U14" s="657">
        <v>0</v>
      </c>
      <c r="V14" s="657">
        <v>0</v>
      </c>
      <c r="W14" s="657">
        <v>0</v>
      </c>
      <c r="X14" s="657">
        <v>0</v>
      </c>
      <c r="Y14" s="657">
        <v>0</v>
      </c>
      <c r="Z14" s="657">
        <v>0</v>
      </c>
      <c r="AA14" s="657">
        <v>0</v>
      </c>
      <c r="AB14" s="657">
        <v>0</v>
      </c>
      <c r="AC14" s="657">
        <v>0</v>
      </c>
      <c r="AD14" s="657">
        <f t="shared" si="0"/>
        <v>0</v>
      </c>
      <c r="AE14" s="657">
        <f t="shared" si="1"/>
        <v>0</v>
      </c>
      <c r="AF14" s="657">
        <f t="shared" si="2"/>
        <v>0</v>
      </c>
    </row>
    <row r="15" spans="1:32" s="460" customFormat="1" ht="25.5" customHeight="1">
      <c r="A15" s="656"/>
      <c r="B15" s="437" t="s">
        <v>282</v>
      </c>
      <c r="C15" s="657">
        <v>0</v>
      </c>
      <c r="D15" s="657">
        <v>0</v>
      </c>
      <c r="E15" s="657">
        <v>0</v>
      </c>
      <c r="F15" s="658">
        <v>0</v>
      </c>
      <c r="G15" s="658">
        <v>0</v>
      </c>
      <c r="H15" s="658">
        <v>0</v>
      </c>
      <c r="I15" s="658">
        <v>0</v>
      </c>
      <c r="J15" s="658">
        <v>0</v>
      </c>
      <c r="K15" s="658">
        <v>0</v>
      </c>
      <c r="L15" s="658">
        <v>0</v>
      </c>
      <c r="M15" s="658">
        <v>0</v>
      </c>
      <c r="N15" s="658">
        <v>0</v>
      </c>
      <c r="O15" s="657">
        <v>0</v>
      </c>
      <c r="P15" s="657">
        <v>0</v>
      </c>
      <c r="Q15" s="657">
        <v>0</v>
      </c>
      <c r="R15" s="657">
        <v>0</v>
      </c>
      <c r="S15" s="657">
        <v>0</v>
      </c>
      <c r="T15" s="657">
        <v>0</v>
      </c>
      <c r="U15" s="657">
        <v>0</v>
      </c>
      <c r="V15" s="657">
        <v>0</v>
      </c>
      <c r="W15" s="657">
        <v>0</v>
      </c>
      <c r="X15" s="657">
        <v>0</v>
      </c>
      <c r="Y15" s="657">
        <v>0</v>
      </c>
      <c r="Z15" s="657">
        <v>0</v>
      </c>
      <c r="AA15" s="657">
        <v>0</v>
      </c>
      <c r="AB15" s="657">
        <v>0</v>
      </c>
      <c r="AC15" s="657">
        <v>0</v>
      </c>
      <c r="AD15" s="657">
        <f t="shared" si="0"/>
        <v>0</v>
      </c>
      <c r="AE15" s="657">
        <f t="shared" si="1"/>
        <v>0</v>
      </c>
      <c r="AF15" s="657">
        <f t="shared" si="2"/>
        <v>0</v>
      </c>
    </row>
    <row r="16" spans="1:32" s="460" customFormat="1" ht="25.5" customHeight="1">
      <c r="A16" s="656"/>
      <c r="B16" s="437" t="s">
        <v>289</v>
      </c>
      <c r="C16" s="657">
        <v>0</v>
      </c>
      <c r="D16" s="657">
        <v>0</v>
      </c>
      <c r="E16" s="657">
        <v>0</v>
      </c>
      <c r="F16" s="658">
        <v>0</v>
      </c>
      <c r="G16" s="658">
        <v>0</v>
      </c>
      <c r="H16" s="658">
        <v>0</v>
      </c>
      <c r="I16" s="658">
        <v>0</v>
      </c>
      <c r="J16" s="658">
        <v>0</v>
      </c>
      <c r="K16" s="658">
        <v>0</v>
      </c>
      <c r="L16" s="658">
        <v>0</v>
      </c>
      <c r="M16" s="658">
        <v>0</v>
      </c>
      <c r="N16" s="658">
        <v>0</v>
      </c>
      <c r="O16" s="657">
        <v>0</v>
      </c>
      <c r="P16" s="657">
        <v>0</v>
      </c>
      <c r="Q16" s="657">
        <v>0</v>
      </c>
      <c r="R16" s="657">
        <v>0</v>
      </c>
      <c r="S16" s="657">
        <v>0</v>
      </c>
      <c r="T16" s="657">
        <v>0</v>
      </c>
      <c r="U16" s="657">
        <v>0</v>
      </c>
      <c r="V16" s="657">
        <v>0</v>
      </c>
      <c r="W16" s="657">
        <v>0</v>
      </c>
      <c r="X16" s="657">
        <v>0</v>
      </c>
      <c r="Y16" s="657">
        <v>0</v>
      </c>
      <c r="Z16" s="657">
        <v>0</v>
      </c>
      <c r="AA16" s="657">
        <v>0</v>
      </c>
      <c r="AB16" s="657">
        <v>0</v>
      </c>
      <c r="AC16" s="657">
        <v>0</v>
      </c>
      <c r="AD16" s="657">
        <f t="shared" si="0"/>
        <v>0</v>
      </c>
      <c r="AE16" s="657">
        <f t="shared" si="1"/>
        <v>0</v>
      </c>
      <c r="AF16" s="657">
        <f t="shared" si="2"/>
        <v>0</v>
      </c>
    </row>
    <row r="17" spans="1:32" s="460" customFormat="1" ht="25.5" customHeight="1">
      <c r="A17" s="656"/>
      <c r="B17" s="437" t="s">
        <v>197</v>
      </c>
      <c r="C17" s="657">
        <v>0</v>
      </c>
      <c r="D17" s="657">
        <v>0</v>
      </c>
      <c r="E17" s="657">
        <v>0</v>
      </c>
      <c r="F17" s="658">
        <v>0</v>
      </c>
      <c r="G17" s="658">
        <v>0</v>
      </c>
      <c r="H17" s="658">
        <v>0</v>
      </c>
      <c r="I17" s="658">
        <v>0</v>
      </c>
      <c r="J17" s="658">
        <v>0</v>
      </c>
      <c r="K17" s="658">
        <v>0</v>
      </c>
      <c r="L17" s="658">
        <v>0</v>
      </c>
      <c r="M17" s="658">
        <v>0</v>
      </c>
      <c r="N17" s="658">
        <v>0</v>
      </c>
      <c r="O17" s="657">
        <v>0</v>
      </c>
      <c r="P17" s="657">
        <v>0</v>
      </c>
      <c r="Q17" s="657">
        <v>0</v>
      </c>
      <c r="R17" s="657">
        <v>0</v>
      </c>
      <c r="S17" s="657">
        <v>0</v>
      </c>
      <c r="T17" s="657">
        <v>0</v>
      </c>
      <c r="U17" s="657">
        <v>0</v>
      </c>
      <c r="V17" s="657">
        <v>0</v>
      </c>
      <c r="W17" s="657">
        <v>0</v>
      </c>
      <c r="X17" s="657">
        <v>0</v>
      </c>
      <c r="Y17" s="657">
        <v>0</v>
      </c>
      <c r="Z17" s="657">
        <v>0</v>
      </c>
      <c r="AA17" s="657">
        <v>0</v>
      </c>
      <c r="AB17" s="657">
        <v>0</v>
      </c>
      <c r="AC17" s="657">
        <v>0</v>
      </c>
      <c r="AD17" s="657">
        <f t="shared" si="0"/>
        <v>0</v>
      </c>
      <c r="AE17" s="657">
        <f t="shared" si="1"/>
        <v>0</v>
      </c>
      <c r="AF17" s="657">
        <f t="shared" si="2"/>
        <v>0</v>
      </c>
    </row>
    <row r="18" spans="1:32" s="460" customFormat="1" ht="23.25" customHeight="1">
      <c r="A18" s="656"/>
      <c r="B18" s="437" t="s">
        <v>15</v>
      </c>
      <c r="C18" s="657">
        <v>0</v>
      </c>
      <c r="D18" s="657">
        <v>0</v>
      </c>
      <c r="E18" s="657">
        <v>0</v>
      </c>
      <c r="F18" s="658">
        <v>0</v>
      </c>
      <c r="G18" s="658">
        <v>0</v>
      </c>
      <c r="H18" s="658">
        <v>0</v>
      </c>
      <c r="I18" s="658">
        <v>0</v>
      </c>
      <c r="J18" s="658">
        <v>0</v>
      </c>
      <c r="K18" s="658">
        <v>0</v>
      </c>
      <c r="L18" s="658">
        <v>0</v>
      </c>
      <c r="M18" s="658">
        <v>0</v>
      </c>
      <c r="N18" s="658">
        <v>0</v>
      </c>
      <c r="O18" s="657">
        <v>0</v>
      </c>
      <c r="P18" s="657">
        <v>0</v>
      </c>
      <c r="Q18" s="657">
        <v>0</v>
      </c>
      <c r="R18" s="657">
        <v>0</v>
      </c>
      <c r="S18" s="657">
        <v>0</v>
      </c>
      <c r="T18" s="657">
        <v>0</v>
      </c>
      <c r="U18" s="657">
        <v>0</v>
      </c>
      <c r="V18" s="657">
        <v>0</v>
      </c>
      <c r="W18" s="657">
        <v>0</v>
      </c>
      <c r="X18" s="657">
        <v>0</v>
      </c>
      <c r="Y18" s="657">
        <v>0</v>
      </c>
      <c r="Z18" s="657">
        <v>0</v>
      </c>
      <c r="AA18" s="657">
        <v>0</v>
      </c>
      <c r="AB18" s="657">
        <v>0</v>
      </c>
      <c r="AC18" s="657">
        <v>0</v>
      </c>
      <c r="AD18" s="657">
        <f t="shared" si="0"/>
        <v>0</v>
      </c>
      <c r="AE18" s="657">
        <f t="shared" si="1"/>
        <v>0</v>
      </c>
      <c r="AF18" s="657">
        <f t="shared" si="2"/>
        <v>0</v>
      </c>
    </row>
    <row r="19" spans="1:32" s="469" customFormat="1" ht="25.5" customHeight="1">
      <c r="A19" s="656"/>
      <c r="B19" s="437" t="s">
        <v>237</v>
      </c>
      <c r="C19" s="658">
        <f aca="true" t="shared" si="3" ref="C19:AE19">SUM(C7:C18)</f>
        <v>0</v>
      </c>
      <c r="D19" s="658">
        <f t="shared" si="3"/>
        <v>0</v>
      </c>
      <c r="E19" s="658">
        <f t="shared" si="3"/>
        <v>0</v>
      </c>
      <c r="F19" s="658">
        <f t="shared" si="3"/>
        <v>0</v>
      </c>
      <c r="G19" s="658">
        <f t="shared" si="3"/>
        <v>0</v>
      </c>
      <c r="H19" s="658">
        <f t="shared" si="3"/>
        <v>0</v>
      </c>
      <c r="I19" s="658">
        <f t="shared" si="3"/>
        <v>0</v>
      </c>
      <c r="J19" s="659">
        <f t="shared" si="3"/>
        <v>0</v>
      </c>
      <c r="K19" s="659">
        <f t="shared" si="3"/>
        <v>0</v>
      </c>
      <c r="L19" s="658">
        <f t="shared" si="3"/>
        <v>0</v>
      </c>
      <c r="M19" s="658">
        <f t="shared" si="3"/>
        <v>0</v>
      </c>
      <c r="N19" s="658">
        <f t="shared" si="3"/>
        <v>0</v>
      </c>
      <c r="O19" s="658">
        <f>SUM(O7:O18)</f>
        <v>0</v>
      </c>
      <c r="P19" s="658">
        <f>SUM(P7:P18)</f>
        <v>0</v>
      </c>
      <c r="Q19" s="658">
        <f>SUM(Q7:Q18)</f>
        <v>0</v>
      </c>
      <c r="R19" s="658">
        <f>SUM(R7:R18)</f>
        <v>0</v>
      </c>
      <c r="S19" s="658">
        <f>SUM(S7:S18)</f>
        <v>0</v>
      </c>
      <c r="T19" s="658">
        <f>SUM(T7:T18)</f>
        <v>0</v>
      </c>
      <c r="U19" s="658">
        <f t="shared" si="3"/>
        <v>0</v>
      </c>
      <c r="V19" s="658">
        <f t="shared" si="3"/>
        <v>0</v>
      </c>
      <c r="W19" s="658">
        <f t="shared" si="3"/>
        <v>0</v>
      </c>
      <c r="X19" s="658">
        <f t="shared" si="3"/>
        <v>0</v>
      </c>
      <c r="Y19" s="658">
        <f t="shared" si="3"/>
        <v>0</v>
      </c>
      <c r="Z19" s="658">
        <f t="shared" si="3"/>
        <v>0</v>
      </c>
      <c r="AA19" s="658">
        <f t="shared" si="3"/>
        <v>0</v>
      </c>
      <c r="AB19" s="658">
        <f t="shared" si="3"/>
        <v>0</v>
      </c>
      <c r="AC19" s="658">
        <f t="shared" si="3"/>
        <v>0</v>
      </c>
      <c r="AD19" s="657">
        <f t="shared" si="0"/>
        <v>0</v>
      </c>
      <c r="AE19" s="657">
        <f t="shared" si="1"/>
        <v>0</v>
      </c>
      <c r="AF19" s="657">
        <f t="shared" si="2"/>
        <v>0</v>
      </c>
    </row>
    <row r="20" spans="1:32" s="460" customFormat="1" ht="25.5" customHeight="1">
      <c r="A20" s="660"/>
      <c r="B20" s="437" t="s">
        <v>238</v>
      </c>
      <c r="C20" s="657">
        <v>0</v>
      </c>
      <c r="D20" s="657">
        <v>0</v>
      </c>
      <c r="E20" s="657">
        <v>0</v>
      </c>
      <c r="F20" s="658">
        <v>0</v>
      </c>
      <c r="G20" s="658">
        <v>0</v>
      </c>
      <c r="H20" s="658">
        <v>0</v>
      </c>
      <c r="I20" s="658">
        <v>0</v>
      </c>
      <c r="J20" s="658">
        <v>0</v>
      </c>
      <c r="K20" s="658">
        <v>0</v>
      </c>
      <c r="L20" s="658">
        <v>0</v>
      </c>
      <c r="M20" s="658">
        <v>0</v>
      </c>
      <c r="N20" s="658">
        <v>0</v>
      </c>
      <c r="O20" s="657">
        <v>0</v>
      </c>
      <c r="P20" s="657">
        <v>0</v>
      </c>
      <c r="Q20" s="657">
        <v>0</v>
      </c>
      <c r="R20" s="657">
        <v>0</v>
      </c>
      <c r="S20" s="657">
        <v>0</v>
      </c>
      <c r="T20" s="657">
        <v>0</v>
      </c>
      <c r="U20" s="657">
        <v>0</v>
      </c>
      <c r="V20" s="657">
        <v>0</v>
      </c>
      <c r="W20" s="657">
        <v>0</v>
      </c>
      <c r="X20" s="657">
        <v>0</v>
      </c>
      <c r="Y20" s="657">
        <v>0</v>
      </c>
      <c r="Z20" s="657">
        <v>0</v>
      </c>
      <c r="AA20" s="657">
        <v>0</v>
      </c>
      <c r="AB20" s="657">
        <v>0</v>
      </c>
      <c r="AC20" s="657">
        <v>0</v>
      </c>
      <c r="AD20" s="657">
        <f t="shared" si="0"/>
        <v>0</v>
      </c>
      <c r="AE20" s="657">
        <f t="shared" si="1"/>
        <v>0</v>
      </c>
      <c r="AF20" s="657">
        <f t="shared" si="2"/>
        <v>0</v>
      </c>
    </row>
    <row r="21" spans="1:32" s="460" customFormat="1" ht="25.5" customHeight="1">
      <c r="A21" s="656" t="s">
        <v>235</v>
      </c>
      <c r="B21" s="437" t="s">
        <v>16</v>
      </c>
      <c r="C21" s="657">
        <v>0</v>
      </c>
      <c r="D21" s="657">
        <v>0</v>
      </c>
      <c r="E21" s="657">
        <v>0</v>
      </c>
      <c r="F21" s="658">
        <v>0</v>
      </c>
      <c r="G21" s="658">
        <v>0</v>
      </c>
      <c r="H21" s="658">
        <v>0</v>
      </c>
      <c r="I21" s="658">
        <v>0</v>
      </c>
      <c r="J21" s="658">
        <v>0</v>
      </c>
      <c r="K21" s="658">
        <v>0</v>
      </c>
      <c r="L21" s="658">
        <v>0</v>
      </c>
      <c r="M21" s="658">
        <v>0</v>
      </c>
      <c r="N21" s="658">
        <v>0</v>
      </c>
      <c r="O21" s="657">
        <v>0</v>
      </c>
      <c r="P21" s="657">
        <v>0</v>
      </c>
      <c r="Q21" s="657">
        <v>0</v>
      </c>
      <c r="R21" s="657">
        <v>0</v>
      </c>
      <c r="S21" s="657">
        <v>0</v>
      </c>
      <c r="T21" s="657">
        <v>0</v>
      </c>
      <c r="U21" s="657">
        <v>0</v>
      </c>
      <c r="V21" s="657">
        <v>0</v>
      </c>
      <c r="W21" s="657">
        <v>0</v>
      </c>
      <c r="X21" s="657">
        <v>0</v>
      </c>
      <c r="Y21" s="657">
        <v>0</v>
      </c>
      <c r="Z21" s="657">
        <v>0</v>
      </c>
      <c r="AA21" s="657">
        <v>0</v>
      </c>
      <c r="AB21" s="657">
        <v>0</v>
      </c>
      <c r="AC21" s="657">
        <v>0</v>
      </c>
      <c r="AD21" s="657">
        <f t="shared" si="0"/>
        <v>0</v>
      </c>
      <c r="AE21" s="657">
        <f t="shared" si="1"/>
        <v>0</v>
      </c>
      <c r="AF21" s="657">
        <f t="shared" si="2"/>
        <v>0</v>
      </c>
    </row>
    <row r="22" spans="1:32" s="460" customFormat="1" ht="25.5" customHeight="1">
      <c r="A22" s="661"/>
      <c r="B22" s="437" t="s">
        <v>17</v>
      </c>
      <c r="C22" s="657">
        <v>0</v>
      </c>
      <c r="D22" s="657">
        <v>0</v>
      </c>
      <c r="E22" s="657">
        <v>0</v>
      </c>
      <c r="F22" s="658">
        <v>0</v>
      </c>
      <c r="G22" s="658">
        <v>0</v>
      </c>
      <c r="H22" s="658">
        <v>0</v>
      </c>
      <c r="I22" s="658">
        <v>0</v>
      </c>
      <c r="J22" s="658">
        <v>0</v>
      </c>
      <c r="K22" s="658">
        <v>0</v>
      </c>
      <c r="L22" s="658">
        <v>0</v>
      </c>
      <c r="M22" s="658">
        <v>0</v>
      </c>
      <c r="N22" s="658">
        <v>0</v>
      </c>
      <c r="O22" s="657">
        <v>0</v>
      </c>
      <c r="P22" s="657">
        <v>0</v>
      </c>
      <c r="Q22" s="657">
        <v>0</v>
      </c>
      <c r="R22" s="657">
        <v>0</v>
      </c>
      <c r="S22" s="657">
        <v>0</v>
      </c>
      <c r="T22" s="657">
        <v>0</v>
      </c>
      <c r="U22" s="657">
        <v>0</v>
      </c>
      <c r="V22" s="657">
        <v>0</v>
      </c>
      <c r="W22" s="657">
        <v>0</v>
      </c>
      <c r="X22" s="657">
        <v>0</v>
      </c>
      <c r="Y22" s="657">
        <v>0</v>
      </c>
      <c r="Z22" s="657">
        <v>0</v>
      </c>
      <c r="AA22" s="657">
        <v>0</v>
      </c>
      <c r="AB22" s="657">
        <v>0</v>
      </c>
      <c r="AC22" s="657">
        <v>0</v>
      </c>
      <c r="AD22" s="657">
        <f t="shared" si="0"/>
        <v>0</v>
      </c>
      <c r="AE22" s="657">
        <f t="shared" si="1"/>
        <v>0</v>
      </c>
      <c r="AF22" s="657">
        <f t="shared" si="2"/>
        <v>0</v>
      </c>
    </row>
    <row r="23" spans="1:32" s="460" customFormat="1" ht="25.5" customHeight="1">
      <c r="A23" s="661"/>
      <c r="B23" s="437" t="s">
        <v>198</v>
      </c>
      <c r="C23" s="657">
        <v>0</v>
      </c>
      <c r="D23" s="657">
        <v>0</v>
      </c>
      <c r="E23" s="657">
        <v>0</v>
      </c>
      <c r="F23" s="658">
        <v>0</v>
      </c>
      <c r="G23" s="658">
        <v>0</v>
      </c>
      <c r="H23" s="658">
        <v>0</v>
      </c>
      <c r="I23" s="658">
        <v>0</v>
      </c>
      <c r="J23" s="658">
        <v>0</v>
      </c>
      <c r="K23" s="658">
        <v>0</v>
      </c>
      <c r="L23" s="658">
        <v>0</v>
      </c>
      <c r="M23" s="658">
        <v>0</v>
      </c>
      <c r="N23" s="658">
        <v>0</v>
      </c>
      <c r="O23" s="657">
        <v>0</v>
      </c>
      <c r="P23" s="657">
        <v>0</v>
      </c>
      <c r="Q23" s="657">
        <v>0</v>
      </c>
      <c r="R23" s="657">
        <v>0</v>
      </c>
      <c r="S23" s="657">
        <v>0</v>
      </c>
      <c r="T23" s="657">
        <v>0</v>
      </c>
      <c r="U23" s="657">
        <v>0</v>
      </c>
      <c r="V23" s="657">
        <v>0</v>
      </c>
      <c r="W23" s="657">
        <v>0</v>
      </c>
      <c r="X23" s="657">
        <v>0</v>
      </c>
      <c r="Y23" s="657">
        <v>0</v>
      </c>
      <c r="Z23" s="657">
        <v>0</v>
      </c>
      <c r="AA23" s="657">
        <v>0</v>
      </c>
      <c r="AB23" s="657">
        <v>0</v>
      </c>
      <c r="AC23" s="657">
        <v>0</v>
      </c>
      <c r="AD23" s="657">
        <f t="shared" si="0"/>
        <v>0</v>
      </c>
      <c r="AE23" s="657">
        <f t="shared" si="1"/>
        <v>0</v>
      </c>
      <c r="AF23" s="657">
        <f t="shared" si="2"/>
        <v>0</v>
      </c>
    </row>
    <row r="24" spans="1:32" s="460" customFormat="1" ht="25.5" customHeight="1">
      <c r="A24" s="661"/>
      <c r="B24" s="437" t="s">
        <v>176</v>
      </c>
      <c r="C24" s="657">
        <v>0</v>
      </c>
      <c r="D24" s="657">
        <v>0</v>
      </c>
      <c r="E24" s="657">
        <v>0</v>
      </c>
      <c r="F24" s="658">
        <v>0</v>
      </c>
      <c r="G24" s="658">
        <v>0</v>
      </c>
      <c r="H24" s="658">
        <v>0</v>
      </c>
      <c r="I24" s="658">
        <v>0</v>
      </c>
      <c r="J24" s="658">
        <v>0</v>
      </c>
      <c r="K24" s="658">
        <v>0</v>
      </c>
      <c r="L24" s="658">
        <v>0</v>
      </c>
      <c r="M24" s="658">
        <v>0</v>
      </c>
      <c r="N24" s="658">
        <v>0</v>
      </c>
      <c r="O24" s="657">
        <v>0</v>
      </c>
      <c r="P24" s="657">
        <v>0</v>
      </c>
      <c r="Q24" s="657">
        <v>0</v>
      </c>
      <c r="R24" s="657">
        <v>0</v>
      </c>
      <c r="S24" s="657">
        <v>0</v>
      </c>
      <c r="T24" s="657">
        <v>0</v>
      </c>
      <c r="U24" s="657">
        <v>0</v>
      </c>
      <c r="V24" s="657">
        <v>0</v>
      </c>
      <c r="W24" s="657">
        <v>0</v>
      </c>
      <c r="X24" s="657">
        <v>0</v>
      </c>
      <c r="Y24" s="657">
        <v>0</v>
      </c>
      <c r="Z24" s="657">
        <v>0</v>
      </c>
      <c r="AA24" s="657">
        <v>0</v>
      </c>
      <c r="AB24" s="657">
        <v>0</v>
      </c>
      <c r="AC24" s="657">
        <v>0</v>
      </c>
      <c r="AD24" s="657">
        <f t="shared" si="0"/>
        <v>0</v>
      </c>
      <c r="AE24" s="657">
        <f t="shared" si="1"/>
        <v>0</v>
      </c>
      <c r="AF24" s="657">
        <f t="shared" si="2"/>
        <v>0</v>
      </c>
    </row>
    <row r="25" spans="1:32" s="460" customFormat="1" ht="25.5" customHeight="1">
      <c r="A25" s="661"/>
      <c r="B25" s="437" t="s">
        <v>199</v>
      </c>
      <c r="C25" s="657">
        <v>0</v>
      </c>
      <c r="D25" s="657">
        <v>0</v>
      </c>
      <c r="E25" s="657">
        <v>0</v>
      </c>
      <c r="F25" s="658">
        <v>0</v>
      </c>
      <c r="G25" s="658">
        <v>0</v>
      </c>
      <c r="H25" s="658">
        <v>0</v>
      </c>
      <c r="I25" s="658">
        <v>0</v>
      </c>
      <c r="J25" s="658">
        <v>0</v>
      </c>
      <c r="K25" s="658">
        <v>0</v>
      </c>
      <c r="L25" s="658">
        <v>0</v>
      </c>
      <c r="M25" s="658">
        <v>0</v>
      </c>
      <c r="N25" s="658">
        <v>0</v>
      </c>
      <c r="O25" s="657">
        <v>0</v>
      </c>
      <c r="P25" s="657">
        <v>0</v>
      </c>
      <c r="Q25" s="657">
        <v>0</v>
      </c>
      <c r="R25" s="657">
        <v>0</v>
      </c>
      <c r="S25" s="657">
        <v>0</v>
      </c>
      <c r="T25" s="657">
        <v>0</v>
      </c>
      <c r="U25" s="657">
        <v>0</v>
      </c>
      <c r="V25" s="657">
        <v>0</v>
      </c>
      <c r="W25" s="657">
        <v>0</v>
      </c>
      <c r="X25" s="657">
        <v>0</v>
      </c>
      <c r="Y25" s="657">
        <v>0</v>
      </c>
      <c r="Z25" s="657">
        <v>0</v>
      </c>
      <c r="AA25" s="657">
        <v>0</v>
      </c>
      <c r="AB25" s="657">
        <v>0</v>
      </c>
      <c r="AC25" s="657">
        <v>0</v>
      </c>
      <c r="AD25" s="657">
        <f t="shared" si="0"/>
        <v>0</v>
      </c>
      <c r="AE25" s="657">
        <f t="shared" si="1"/>
        <v>0</v>
      </c>
      <c r="AF25" s="657">
        <f t="shared" si="2"/>
        <v>0</v>
      </c>
    </row>
    <row r="26" spans="1:32" s="460" customFormat="1" ht="25.5" customHeight="1">
      <c r="A26" s="661"/>
      <c r="B26" s="437" t="s">
        <v>200</v>
      </c>
      <c r="C26" s="657">
        <v>0</v>
      </c>
      <c r="D26" s="657">
        <v>0</v>
      </c>
      <c r="E26" s="657">
        <v>0</v>
      </c>
      <c r="F26" s="658">
        <v>0</v>
      </c>
      <c r="G26" s="658">
        <v>0</v>
      </c>
      <c r="H26" s="658">
        <v>0</v>
      </c>
      <c r="I26" s="658">
        <v>0</v>
      </c>
      <c r="J26" s="658">
        <v>0</v>
      </c>
      <c r="K26" s="658">
        <v>0</v>
      </c>
      <c r="L26" s="658">
        <v>0</v>
      </c>
      <c r="M26" s="658">
        <v>0</v>
      </c>
      <c r="N26" s="658">
        <v>0</v>
      </c>
      <c r="O26" s="657">
        <v>0</v>
      </c>
      <c r="P26" s="657">
        <v>0</v>
      </c>
      <c r="Q26" s="657">
        <v>0</v>
      </c>
      <c r="R26" s="657">
        <v>0</v>
      </c>
      <c r="S26" s="657">
        <v>0</v>
      </c>
      <c r="T26" s="657">
        <v>0</v>
      </c>
      <c r="U26" s="657">
        <v>0</v>
      </c>
      <c r="V26" s="657">
        <v>0</v>
      </c>
      <c r="W26" s="657">
        <v>0</v>
      </c>
      <c r="X26" s="657">
        <v>0</v>
      </c>
      <c r="Y26" s="657">
        <v>0</v>
      </c>
      <c r="Z26" s="657">
        <v>0</v>
      </c>
      <c r="AA26" s="657">
        <v>0</v>
      </c>
      <c r="AB26" s="657">
        <v>0</v>
      </c>
      <c r="AC26" s="657">
        <v>0</v>
      </c>
      <c r="AD26" s="657">
        <f t="shared" si="0"/>
        <v>0</v>
      </c>
      <c r="AE26" s="657">
        <f t="shared" si="1"/>
        <v>0</v>
      </c>
      <c r="AF26" s="657">
        <f t="shared" si="2"/>
        <v>0</v>
      </c>
    </row>
    <row r="27" spans="1:32" s="460" customFormat="1" ht="25.5" customHeight="1">
      <c r="A27" s="661"/>
      <c r="B27" s="437" t="s">
        <v>312</v>
      </c>
      <c r="C27" s="657">
        <v>0</v>
      </c>
      <c r="D27" s="657">
        <v>0</v>
      </c>
      <c r="E27" s="657">
        <v>0</v>
      </c>
      <c r="F27" s="658">
        <v>0</v>
      </c>
      <c r="G27" s="658">
        <v>0</v>
      </c>
      <c r="H27" s="658">
        <v>0</v>
      </c>
      <c r="I27" s="658">
        <v>0</v>
      </c>
      <c r="J27" s="658">
        <v>0</v>
      </c>
      <c r="K27" s="658">
        <v>0</v>
      </c>
      <c r="L27" s="658">
        <v>0</v>
      </c>
      <c r="M27" s="658">
        <v>0</v>
      </c>
      <c r="N27" s="658">
        <v>0</v>
      </c>
      <c r="O27" s="657">
        <v>0</v>
      </c>
      <c r="P27" s="657">
        <v>0</v>
      </c>
      <c r="Q27" s="657">
        <v>0</v>
      </c>
      <c r="R27" s="657">
        <v>0</v>
      </c>
      <c r="S27" s="657">
        <v>0</v>
      </c>
      <c r="T27" s="657">
        <v>0</v>
      </c>
      <c r="U27" s="657">
        <v>0</v>
      </c>
      <c r="V27" s="657">
        <v>0</v>
      </c>
      <c r="W27" s="657">
        <v>0</v>
      </c>
      <c r="X27" s="657">
        <v>0</v>
      </c>
      <c r="Y27" s="657">
        <v>0</v>
      </c>
      <c r="Z27" s="657">
        <v>0</v>
      </c>
      <c r="AA27" s="657">
        <v>0</v>
      </c>
      <c r="AB27" s="657">
        <v>0</v>
      </c>
      <c r="AC27" s="657">
        <v>0</v>
      </c>
      <c r="AD27" s="657">
        <f t="shared" si="0"/>
        <v>0</v>
      </c>
      <c r="AE27" s="657">
        <f t="shared" si="1"/>
        <v>0</v>
      </c>
      <c r="AF27" s="657">
        <f t="shared" si="2"/>
        <v>0</v>
      </c>
    </row>
    <row r="28" spans="1:32" s="460" customFormat="1" ht="25.5" customHeight="1">
      <c r="A28" s="661"/>
      <c r="B28" s="437" t="s">
        <v>201</v>
      </c>
      <c r="C28" s="657">
        <v>0</v>
      </c>
      <c r="D28" s="657">
        <v>0</v>
      </c>
      <c r="E28" s="657">
        <v>0</v>
      </c>
      <c r="F28" s="658">
        <v>0</v>
      </c>
      <c r="G28" s="658">
        <v>0</v>
      </c>
      <c r="H28" s="658">
        <v>0</v>
      </c>
      <c r="I28" s="658">
        <v>0</v>
      </c>
      <c r="J28" s="658">
        <v>0</v>
      </c>
      <c r="K28" s="658">
        <v>0</v>
      </c>
      <c r="L28" s="658">
        <v>0</v>
      </c>
      <c r="M28" s="658">
        <v>0</v>
      </c>
      <c r="N28" s="658">
        <v>0</v>
      </c>
      <c r="O28" s="657">
        <v>0</v>
      </c>
      <c r="P28" s="657">
        <v>0</v>
      </c>
      <c r="Q28" s="657">
        <v>0</v>
      </c>
      <c r="R28" s="657">
        <v>0</v>
      </c>
      <c r="S28" s="657">
        <v>0</v>
      </c>
      <c r="T28" s="657">
        <v>0</v>
      </c>
      <c r="U28" s="657">
        <v>0</v>
      </c>
      <c r="V28" s="657">
        <v>0</v>
      </c>
      <c r="W28" s="657">
        <v>0</v>
      </c>
      <c r="X28" s="657">
        <v>0</v>
      </c>
      <c r="Y28" s="657">
        <v>0</v>
      </c>
      <c r="Z28" s="657">
        <v>0</v>
      </c>
      <c r="AA28" s="657">
        <v>0</v>
      </c>
      <c r="AB28" s="657">
        <v>0</v>
      </c>
      <c r="AC28" s="657">
        <v>0</v>
      </c>
      <c r="AD28" s="657">
        <f t="shared" si="0"/>
        <v>0</v>
      </c>
      <c r="AE28" s="657">
        <f t="shared" si="1"/>
        <v>0</v>
      </c>
      <c r="AF28" s="657">
        <f t="shared" si="2"/>
        <v>0</v>
      </c>
    </row>
    <row r="29" spans="1:32" s="460" customFormat="1" ht="25.5" customHeight="1">
      <c r="A29" s="661"/>
      <c r="B29" s="437" t="s">
        <v>283</v>
      </c>
      <c r="C29" s="657">
        <v>0</v>
      </c>
      <c r="D29" s="657">
        <v>0</v>
      </c>
      <c r="E29" s="657">
        <v>0</v>
      </c>
      <c r="F29" s="658">
        <v>0</v>
      </c>
      <c r="G29" s="658">
        <v>0</v>
      </c>
      <c r="H29" s="658">
        <v>0</v>
      </c>
      <c r="I29" s="658">
        <v>0</v>
      </c>
      <c r="J29" s="658">
        <v>0</v>
      </c>
      <c r="K29" s="658">
        <v>0</v>
      </c>
      <c r="L29" s="658">
        <v>0</v>
      </c>
      <c r="M29" s="658">
        <v>0</v>
      </c>
      <c r="N29" s="658">
        <v>0</v>
      </c>
      <c r="O29" s="657">
        <v>0</v>
      </c>
      <c r="P29" s="657">
        <v>0</v>
      </c>
      <c r="Q29" s="657">
        <v>0</v>
      </c>
      <c r="R29" s="657">
        <v>0</v>
      </c>
      <c r="S29" s="657">
        <v>0</v>
      </c>
      <c r="T29" s="657">
        <v>0</v>
      </c>
      <c r="U29" s="657">
        <v>0</v>
      </c>
      <c r="V29" s="657">
        <v>0</v>
      </c>
      <c r="W29" s="657">
        <v>0</v>
      </c>
      <c r="X29" s="657">
        <v>0</v>
      </c>
      <c r="Y29" s="657">
        <v>0</v>
      </c>
      <c r="Z29" s="657">
        <v>0</v>
      </c>
      <c r="AA29" s="657">
        <v>0</v>
      </c>
      <c r="AB29" s="657">
        <v>0</v>
      </c>
      <c r="AC29" s="657">
        <v>0</v>
      </c>
      <c r="AD29" s="657">
        <f t="shared" si="0"/>
        <v>0</v>
      </c>
      <c r="AE29" s="657">
        <f t="shared" si="1"/>
        <v>0</v>
      </c>
      <c r="AF29" s="657">
        <f t="shared" si="2"/>
        <v>0</v>
      </c>
    </row>
    <row r="30" spans="1:32" s="469" customFormat="1" ht="25.5" customHeight="1">
      <c r="A30" s="661"/>
      <c r="B30" s="437" t="s">
        <v>239</v>
      </c>
      <c r="C30" s="657">
        <f aca="true" t="shared" si="4" ref="C30:AC30">SUM(C21:C29)</f>
        <v>0</v>
      </c>
      <c r="D30" s="657">
        <f t="shared" si="4"/>
        <v>0</v>
      </c>
      <c r="E30" s="657">
        <f t="shared" si="4"/>
        <v>0</v>
      </c>
      <c r="F30" s="658">
        <f t="shared" si="4"/>
        <v>0</v>
      </c>
      <c r="G30" s="658">
        <f t="shared" si="4"/>
        <v>0</v>
      </c>
      <c r="H30" s="658">
        <f t="shared" si="4"/>
        <v>0</v>
      </c>
      <c r="I30" s="658">
        <f t="shared" si="4"/>
        <v>0</v>
      </c>
      <c r="J30" s="658">
        <f t="shared" si="4"/>
        <v>0</v>
      </c>
      <c r="K30" s="658">
        <f t="shared" si="4"/>
        <v>0</v>
      </c>
      <c r="L30" s="658">
        <f t="shared" si="4"/>
        <v>0</v>
      </c>
      <c r="M30" s="658">
        <f t="shared" si="4"/>
        <v>0</v>
      </c>
      <c r="N30" s="658">
        <f t="shared" si="4"/>
        <v>0</v>
      </c>
      <c r="O30" s="657">
        <f t="shared" si="4"/>
        <v>0</v>
      </c>
      <c r="P30" s="657">
        <f t="shared" si="4"/>
        <v>0</v>
      </c>
      <c r="Q30" s="657">
        <f t="shared" si="4"/>
        <v>0</v>
      </c>
      <c r="R30" s="657">
        <f t="shared" si="4"/>
        <v>0</v>
      </c>
      <c r="S30" s="657">
        <f t="shared" si="4"/>
        <v>0</v>
      </c>
      <c r="T30" s="657">
        <f t="shared" si="4"/>
        <v>0</v>
      </c>
      <c r="U30" s="657">
        <f t="shared" si="4"/>
        <v>0</v>
      </c>
      <c r="V30" s="657">
        <f t="shared" si="4"/>
        <v>0</v>
      </c>
      <c r="W30" s="657">
        <f t="shared" si="4"/>
        <v>0</v>
      </c>
      <c r="X30" s="657">
        <f t="shared" si="4"/>
        <v>0</v>
      </c>
      <c r="Y30" s="657">
        <f t="shared" si="4"/>
        <v>0</v>
      </c>
      <c r="Z30" s="657">
        <f t="shared" si="4"/>
        <v>0</v>
      </c>
      <c r="AA30" s="657">
        <f t="shared" si="4"/>
        <v>0</v>
      </c>
      <c r="AB30" s="657">
        <f t="shared" si="4"/>
        <v>0</v>
      </c>
      <c r="AC30" s="657">
        <f t="shared" si="4"/>
        <v>0</v>
      </c>
      <c r="AD30" s="657">
        <f t="shared" si="0"/>
        <v>0</v>
      </c>
      <c r="AE30" s="657">
        <f t="shared" si="1"/>
        <v>0</v>
      </c>
      <c r="AF30" s="657">
        <f t="shared" si="2"/>
        <v>0</v>
      </c>
    </row>
    <row r="31" spans="1:32" s="469" customFormat="1" ht="24.75" customHeight="1">
      <c r="A31" s="662" t="s">
        <v>286</v>
      </c>
      <c r="B31" s="662"/>
      <c r="C31" s="657">
        <f aca="true" t="shared" si="5" ref="C31:AC31">C19+C20+C30</f>
        <v>0</v>
      </c>
      <c r="D31" s="657">
        <f>D19+D20+D30</f>
        <v>0</v>
      </c>
      <c r="E31" s="657">
        <f>E19+E20+E30</f>
        <v>0</v>
      </c>
      <c r="F31" s="657">
        <f>F19+F20+F30</f>
        <v>0</v>
      </c>
      <c r="G31" s="663">
        <f>G19+G20+G30</f>
        <v>0</v>
      </c>
      <c r="H31" s="663">
        <f>H19+H20+H30</f>
        <v>0</v>
      </c>
      <c r="I31" s="657">
        <f t="shared" si="5"/>
        <v>0</v>
      </c>
      <c r="J31" s="657">
        <f t="shared" si="5"/>
        <v>0</v>
      </c>
      <c r="K31" s="657">
        <f t="shared" si="5"/>
        <v>0</v>
      </c>
      <c r="L31" s="657">
        <f t="shared" si="5"/>
        <v>0</v>
      </c>
      <c r="M31" s="657">
        <f t="shared" si="5"/>
        <v>0</v>
      </c>
      <c r="N31" s="657">
        <f t="shared" si="5"/>
        <v>0</v>
      </c>
      <c r="O31" s="657">
        <f t="shared" si="5"/>
        <v>0</v>
      </c>
      <c r="P31" s="657">
        <f t="shared" si="5"/>
        <v>0</v>
      </c>
      <c r="Q31" s="657">
        <f t="shared" si="5"/>
        <v>0</v>
      </c>
      <c r="R31" s="657">
        <f t="shared" si="5"/>
        <v>0</v>
      </c>
      <c r="S31" s="657">
        <f t="shared" si="5"/>
        <v>0</v>
      </c>
      <c r="T31" s="657">
        <f t="shared" si="5"/>
        <v>0</v>
      </c>
      <c r="U31" s="657">
        <f t="shared" si="5"/>
        <v>0</v>
      </c>
      <c r="V31" s="657">
        <f t="shared" si="5"/>
        <v>0</v>
      </c>
      <c r="W31" s="657">
        <f t="shared" si="5"/>
        <v>0</v>
      </c>
      <c r="X31" s="657">
        <f t="shared" si="5"/>
        <v>0</v>
      </c>
      <c r="Y31" s="657">
        <f t="shared" si="5"/>
        <v>0</v>
      </c>
      <c r="Z31" s="657">
        <f t="shared" si="5"/>
        <v>0</v>
      </c>
      <c r="AA31" s="657">
        <f t="shared" si="5"/>
        <v>0</v>
      </c>
      <c r="AB31" s="657">
        <f t="shared" si="5"/>
        <v>0</v>
      </c>
      <c r="AC31" s="657">
        <f t="shared" si="5"/>
        <v>0</v>
      </c>
      <c r="AD31" s="657">
        <f t="shared" si="0"/>
        <v>0</v>
      </c>
      <c r="AE31" s="657">
        <f t="shared" si="1"/>
        <v>0</v>
      </c>
      <c r="AF31" s="657">
        <f t="shared" si="2"/>
        <v>0</v>
      </c>
    </row>
    <row r="32" spans="1:32" s="461" customFormat="1" ht="25.5" customHeight="1">
      <c r="A32" s="661"/>
      <c r="B32" s="437" t="s">
        <v>10</v>
      </c>
      <c r="C32" s="657">
        <v>0</v>
      </c>
      <c r="D32" s="664">
        <v>0</v>
      </c>
      <c r="E32" s="664">
        <v>0</v>
      </c>
      <c r="F32" s="658">
        <v>0</v>
      </c>
      <c r="G32" s="658">
        <v>0</v>
      </c>
      <c r="H32" s="658">
        <v>0</v>
      </c>
      <c r="I32" s="658">
        <v>0</v>
      </c>
      <c r="J32" s="658">
        <v>0</v>
      </c>
      <c r="K32" s="658">
        <v>0</v>
      </c>
      <c r="L32" s="658">
        <v>0</v>
      </c>
      <c r="M32" s="665">
        <v>0</v>
      </c>
      <c r="N32" s="665">
        <v>0</v>
      </c>
      <c r="O32" s="657">
        <v>0</v>
      </c>
      <c r="P32" s="657">
        <v>0</v>
      </c>
      <c r="Q32" s="657">
        <v>0</v>
      </c>
      <c r="R32" s="657">
        <v>0</v>
      </c>
      <c r="S32" s="657">
        <v>0</v>
      </c>
      <c r="T32" s="657">
        <v>0</v>
      </c>
      <c r="U32" s="657">
        <v>0</v>
      </c>
      <c r="V32" s="666">
        <v>0</v>
      </c>
      <c r="W32" s="666">
        <v>0</v>
      </c>
      <c r="X32" s="657">
        <v>0</v>
      </c>
      <c r="Y32" s="664">
        <v>0</v>
      </c>
      <c r="Z32" s="664">
        <v>0</v>
      </c>
      <c r="AA32" s="657">
        <v>0</v>
      </c>
      <c r="AB32" s="657">
        <v>0</v>
      </c>
      <c r="AC32" s="657">
        <v>0</v>
      </c>
      <c r="AD32" s="657">
        <f t="shared" si="0"/>
        <v>0</v>
      </c>
      <c r="AE32" s="657">
        <f t="shared" si="1"/>
        <v>0</v>
      </c>
      <c r="AF32" s="657">
        <f t="shared" si="2"/>
        <v>0</v>
      </c>
    </row>
    <row r="33" spans="1:32" s="461" customFormat="1" ht="25.5" customHeight="1">
      <c r="A33" s="661"/>
      <c r="B33" s="437" t="s">
        <v>291</v>
      </c>
      <c r="C33" s="657">
        <v>0</v>
      </c>
      <c r="D33" s="657">
        <v>0</v>
      </c>
      <c r="E33" s="657">
        <v>0</v>
      </c>
      <c r="F33" s="658">
        <v>0</v>
      </c>
      <c r="G33" s="658">
        <v>0</v>
      </c>
      <c r="H33" s="658">
        <v>0</v>
      </c>
      <c r="I33" s="658">
        <v>0</v>
      </c>
      <c r="J33" s="658">
        <v>0</v>
      </c>
      <c r="K33" s="658">
        <v>0</v>
      </c>
      <c r="L33" s="658">
        <v>0</v>
      </c>
      <c r="M33" s="658">
        <v>0</v>
      </c>
      <c r="N33" s="658">
        <v>0</v>
      </c>
      <c r="O33" s="657">
        <v>0</v>
      </c>
      <c r="P33" s="657">
        <v>0</v>
      </c>
      <c r="Q33" s="657">
        <v>0</v>
      </c>
      <c r="R33" s="657">
        <v>0</v>
      </c>
      <c r="S33" s="657">
        <v>0</v>
      </c>
      <c r="T33" s="657">
        <v>0</v>
      </c>
      <c r="U33" s="657">
        <v>0</v>
      </c>
      <c r="V33" s="657">
        <v>0</v>
      </c>
      <c r="W33" s="657">
        <v>0</v>
      </c>
      <c r="X33" s="657">
        <v>0</v>
      </c>
      <c r="Y33" s="657">
        <v>0</v>
      </c>
      <c r="Z33" s="657">
        <v>0</v>
      </c>
      <c r="AA33" s="657">
        <v>0</v>
      </c>
      <c r="AB33" s="657">
        <v>0</v>
      </c>
      <c r="AC33" s="657">
        <v>0</v>
      </c>
      <c r="AD33" s="657">
        <f t="shared" si="0"/>
        <v>0</v>
      </c>
      <c r="AE33" s="657">
        <f t="shared" si="1"/>
        <v>0</v>
      </c>
      <c r="AF33" s="657">
        <f t="shared" si="2"/>
        <v>0</v>
      </c>
    </row>
    <row r="34" spans="1:32" s="466" customFormat="1" ht="25.5" customHeight="1">
      <c r="A34" s="661"/>
      <c r="B34" s="437" t="s">
        <v>285</v>
      </c>
      <c r="C34" s="657">
        <f>SUM(C32:C33)</f>
        <v>0</v>
      </c>
      <c r="D34" s="657">
        <f aca="true" t="shared" si="6" ref="D34:AE34">SUM(D32:D33)</f>
        <v>0</v>
      </c>
      <c r="E34" s="657">
        <f t="shared" si="6"/>
        <v>0</v>
      </c>
      <c r="F34" s="657">
        <f t="shared" si="6"/>
        <v>0</v>
      </c>
      <c r="G34" s="657">
        <f t="shared" si="6"/>
        <v>0</v>
      </c>
      <c r="H34" s="657">
        <f t="shared" si="6"/>
        <v>0</v>
      </c>
      <c r="I34" s="657">
        <f t="shared" si="6"/>
        <v>0</v>
      </c>
      <c r="J34" s="657">
        <f t="shared" si="6"/>
        <v>0</v>
      </c>
      <c r="K34" s="657">
        <f t="shared" si="6"/>
        <v>0</v>
      </c>
      <c r="L34" s="657">
        <f t="shared" si="6"/>
        <v>0</v>
      </c>
      <c r="M34" s="657">
        <f t="shared" si="6"/>
        <v>0</v>
      </c>
      <c r="N34" s="657">
        <f t="shared" si="6"/>
        <v>0</v>
      </c>
      <c r="O34" s="657">
        <f t="shared" si="6"/>
        <v>0</v>
      </c>
      <c r="P34" s="657">
        <f t="shared" si="6"/>
        <v>0</v>
      </c>
      <c r="Q34" s="657">
        <f t="shared" si="6"/>
        <v>0</v>
      </c>
      <c r="R34" s="657">
        <f t="shared" si="6"/>
        <v>0</v>
      </c>
      <c r="S34" s="657">
        <f t="shared" si="6"/>
        <v>0</v>
      </c>
      <c r="T34" s="657">
        <f t="shared" si="6"/>
        <v>0</v>
      </c>
      <c r="U34" s="657">
        <f t="shared" si="6"/>
        <v>0</v>
      </c>
      <c r="V34" s="664">
        <f t="shared" si="6"/>
        <v>0</v>
      </c>
      <c r="W34" s="664">
        <f t="shared" si="6"/>
        <v>0</v>
      </c>
      <c r="X34" s="657">
        <f t="shared" si="6"/>
        <v>0</v>
      </c>
      <c r="Y34" s="657">
        <f t="shared" si="6"/>
        <v>0</v>
      </c>
      <c r="Z34" s="657">
        <f t="shared" si="6"/>
        <v>0</v>
      </c>
      <c r="AA34" s="657">
        <f t="shared" si="6"/>
        <v>0</v>
      </c>
      <c r="AB34" s="657">
        <f t="shared" si="6"/>
        <v>0</v>
      </c>
      <c r="AC34" s="657">
        <f t="shared" si="6"/>
        <v>0</v>
      </c>
      <c r="AD34" s="657">
        <f t="shared" si="0"/>
        <v>0</v>
      </c>
      <c r="AE34" s="657">
        <f t="shared" si="1"/>
        <v>0</v>
      </c>
      <c r="AF34" s="657">
        <f t="shared" si="2"/>
        <v>0</v>
      </c>
    </row>
    <row r="35" spans="1:32" s="466" customFormat="1" ht="25.5" customHeight="1">
      <c r="A35" s="661"/>
      <c r="B35" s="437" t="s">
        <v>287</v>
      </c>
      <c r="C35" s="657">
        <v>0</v>
      </c>
      <c r="D35" s="657">
        <v>0</v>
      </c>
      <c r="E35" s="657">
        <v>0</v>
      </c>
      <c r="F35" s="658">
        <v>0</v>
      </c>
      <c r="G35" s="659">
        <v>0</v>
      </c>
      <c r="H35" s="659">
        <v>0</v>
      </c>
      <c r="I35" s="659">
        <v>0</v>
      </c>
      <c r="J35" s="658">
        <v>0</v>
      </c>
      <c r="K35" s="658">
        <v>0</v>
      </c>
      <c r="L35" s="658">
        <v>0</v>
      </c>
      <c r="M35" s="658">
        <v>0</v>
      </c>
      <c r="N35" s="658">
        <v>0</v>
      </c>
      <c r="O35" s="657">
        <v>0</v>
      </c>
      <c r="P35" s="657">
        <v>0</v>
      </c>
      <c r="Q35" s="657">
        <v>0</v>
      </c>
      <c r="R35" s="666">
        <v>0</v>
      </c>
      <c r="S35" s="657">
        <v>0</v>
      </c>
      <c r="T35" s="657">
        <v>0</v>
      </c>
      <c r="U35" s="657">
        <v>0</v>
      </c>
      <c r="V35" s="657">
        <v>0</v>
      </c>
      <c r="W35" s="657">
        <v>0</v>
      </c>
      <c r="X35" s="657">
        <v>0</v>
      </c>
      <c r="Y35" s="657">
        <v>0</v>
      </c>
      <c r="Z35" s="657">
        <v>0</v>
      </c>
      <c r="AA35" s="657">
        <v>0</v>
      </c>
      <c r="AB35" s="657">
        <v>0</v>
      </c>
      <c r="AC35" s="657">
        <v>0</v>
      </c>
      <c r="AD35" s="657">
        <f t="shared" si="0"/>
        <v>0</v>
      </c>
      <c r="AE35" s="657">
        <f t="shared" si="1"/>
        <v>0</v>
      </c>
      <c r="AF35" s="657">
        <f t="shared" si="2"/>
        <v>0</v>
      </c>
    </row>
    <row r="36" spans="1:32" s="461" customFormat="1" ht="25.5" customHeight="1">
      <c r="A36" s="661"/>
      <c r="B36" s="437" t="s">
        <v>11</v>
      </c>
      <c r="C36" s="657">
        <v>0</v>
      </c>
      <c r="D36" s="657">
        <v>0</v>
      </c>
      <c r="E36" s="657">
        <v>0</v>
      </c>
      <c r="F36" s="659">
        <v>0</v>
      </c>
      <c r="G36" s="658">
        <v>0</v>
      </c>
      <c r="H36" s="658">
        <v>0</v>
      </c>
      <c r="I36" s="658">
        <v>0</v>
      </c>
      <c r="J36" s="658">
        <v>0</v>
      </c>
      <c r="K36" s="658">
        <v>0</v>
      </c>
      <c r="L36" s="658">
        <v>0</v>
      </c>
      <c r="M36" s="658">
        <v>0</v>
      </c>
      <c r="N36" s="658">
        <v>0</v>
      </c>
      <c r="O36" s="657">
        <v>0</v>
      </c>
      <c r="P36" s="657">
        <v>0</v>
      </c>
      <c r="Q36" s="657">
        <v>0</v>
      </c>
      <c r="R36" s="657">
        <v>0</v>
      </c>
      <c r="S36" s="657">
        <v>0</v>
      </c>
      <c r="T36" s="657">
        <v>0</v>
      </c>
      <c r="U36" s="657">
        <v>0</v>
      </c>
      <c r="V36" s="657">
        <v>0</v>
      </c>
      <c r="W36" s="657">
        <v>0</v>
      </c>
      <c r="X36" s="657">
        <v>0</v>
      </c>
      <c r="Y36" s="657">
        <v>0</v>
      </c>
      <c r="Z36" s="657">
        <v>0</v>
      </c>
      <c r="AA36" s="657">
        <v>0</v>
      </c>
      <c r="AB36" s="657">
        <v>0</v>
      </c>
      <c r="AC36" s="657">
        <v>0</v>
      </c>
      <c r="AD36" s="657">
        <f t="shared" si="0"/>
        <v>0</v>
      </c>
      <c r="AE36" s="657">
        <f t="shared" si="1"/>
        <v>0</v>
      </c>
      <c r="AF36" s="657">
        <f t="shared" si="2"/>
        <v>0</v>
      </c>
    </row>
    <row r="37" spans="1:32" s="461" customFormat="1" ht="25.5" customHeight="1">
      <c r="A37" s="661"/>
      <c r="B37" s="437" t="s">
        <v>288</v>
      </c>
      <c r="C37" s="657">
        <v>0</v>
      </c>
      <c r="D37" s="657">
        <v>0</v>
      </c>
      <c r="E37" s="657">
        <v>0</v>
      </c>
      <c r="F37" s="658">
        <v>0</v>
      </c>
      <c r="G37" s="658">
        <v>0</v>
      </c>
      <c r="H37" s="658">
        <v>0</v>
      </c>
      <c r="I37" s="658">
        <v>0</v>
      </c>
      <c r="J37" s="658">
        <v>0</v>
      </c>
      <c r="K37" s="658">
        <v>0</v>
      </c>
      <c r="L37" s="658">
        <v>0</v>
      </c>
      <c r="M37" s="658">
        <v>0</v>
      </c>
      <c r="N37" s="658">
        <v>0</v>
      </c>
      <c r="O37" s="657">
        <v>0</v>
      </c>
      <c r="P37" s="657">
        <v>0</v>
      </c>
      <c r="Q37" s="657">
        <v>0</v>
      </c>
      <c r="R37" s="657">
        <v>0</v>
      </c>
      <c r="S37" s="657">
        <v>0</v>
      </c>
      <c r="T37" s="657">
        <v>0</v>
      </c>
      <c r="U37" s="657">
        <v>0</v>
      </c>
      <c r="V37" s="657">
        <v>0</v>
      </c>
      <c r="W37" s="657">
        <v>0</v>
      </c>
      <c r="X37" s="657">
        <v>0</v>
      </c>
      <c r="Y37" s="657">
        <v>0</v>
      </c>
      <c r="Z37" s="657">
        <v>0</v>
      </c>
      <c r="AA37" s="657">
        <v>0</v>
      </c>
      <c r="AB37" s="657">
        <v>0</v>
      </c>
      <c r="AC37" s="657">
        <v>0</v>
      </c>
      <c r="AD37" s="657">
        <f t="shared" si="0"/>
        <v>0</v>
      </c>
      <c r="AE37" s="657">
        <f t="shared" si="1"/>
        <v>0</v>
      </c>
      <c r="AF37" s="657">
        <f t="shared" si="2"/>
        <v>0</v>
      </c>
    </row>
    <row r="38" spans="1:32" s="461" customFormat="1" ht="25.5" customHeight="1">
      <c r="A38" s="661"/>
      <c r="B38" s="437" t="s">
        <v>250</v>
      </c>
      <c r="C38" s="657">
        <v>0</v>
      </c>
      <c r="D38" s="657">
        <v>0</v>
      </c>
      <c r="E38" s="657">
        <v>0</v>
      </c>
      <c r="F38" s="658">
        <v>0</v>
      </c>
      <c r="G38" s="658">
        <v>0</v>
      </c>
      <c r="H38" s="658">
        <v>0</v>
      </c>
      <c r="I38" s="658">
        <v>0</v>
      </c>
      <c r="J38" s="658">
        <v>0</v>
      </c>
      <c r="K38" s="658">
        <v>0</v>
      </c>
      <c r="L38" s="658">
        <v>0</v>
      </c>
      <c r="M38" s="658">
        <v>0</v>
      </c>
      <c r="N38" s="658">
        <v>0</v>
      </c>
      <c r="O38" s="657">
        <v>0</v>
      </c>
      <c r="P38" s="657">
        <v>0</v>
      </c>
      <c r="Q38" s="657">
        <v>0</v>
      </c>
      <c r="R38" s="657">
        <v>0</v>
      </c>
      <c r="S38" s="657">
        <v>0</v>
      </c>
      <c r="T38" s="657">
        <v>0</v>
      </c>
      <c r="U38" s="657">
        <v>0</v>
      </c>
      <c r="V38" s="657">
        <v>0</v>
      </c>
      <c r="W38" s="657">
        <v>0</v>
      </c>
      <c r="X38" s="657">
        <v>0</v>
      </c>
      <c r="Y38" s="657">
        <v>0</v>
      </c>
      <c r="Z38" s="657">
        <v>0</v>
      </c>
      <c r="AA38" s="657">
        <v>0</v>
      </c>
      <c r="AB38" s="657">
        <v>0</v>
      </c>
      <c r="AC38" s="657">
        <v>0</v>
      </c>
      <c r="AD38" s="657">
        <f t="shared" si="0"/>
        <v>0</v>
      </c>
      <c r="AE38" s="657">
        <f t="shared" si="1"/>
        <v>0</v>
      </c>
      <c r="AF38" s="657">
        <f t="shared" si="2"/>
        <v>0</v>
      </c>
    </row>
    <row r="39" spans="1:31" ht="14.25" customHeight="1">
      <c r="A39" s="434"/>
      <c r="B39" s="434"/>
      <c r="C39" s="434"/>
      <c r="D39" s="434"/>
      <c r="E39" s="434"/>
      <c r="F39" s="435"/>
      <c r="G39" s="435"/>
      <c r="H39" s="435"/>
      <c r="I39" s="435"/>
      <c r="J39" s="435"/>
      <c r="K39" s="435"/>
      <c r="L39" s="435"/>
      <c r="M39" s="435"/>
      <c r="N39" s="435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</row>
    <row r="40" spans="1:31" ht="15" customHeight="1">
      <c r="A40" s="434"/>
      <c r="B40" s="434"/>
      <c r="C40" s="434"/>
      <c r="D40" s="434"/>
      <c r="E40" s="434"/>
      <c r="F40" s="435"/>
      <c r="G40" s="435"/>
      <c r="H40" s="435"/>
      <c r="I40" s="435"/>
      <c r="J40" s="435"/>
      <c r="K40" s="435"/>
      <c r="L40" s="435"/>
      <c r="M40" s="435"/>
      <c r="N40" s="435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</row>
    <row r="41" spans="1:31" ht="15.75" customHeight="1">
      <c r="A41" s="434"/>
      <c r="B41" s="434"/>
      <c r="C41" s="434"/>
      <c r="D41" s="434"/>
      <c r="E41" s="434"/>
      <c r="F41" s="435"/>
      <c r="G41" s="435"/>
      <c r="H41" s="435"/>
      <c r="I41" s="435"/>
      <c r="J41" s="435"/>
      <c r="K41" s="435"/>
      <c r="L41" s="435"/>
      <c r="M41" s="435"/>
      <c r="N41" s="435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</row>
    <row r="42" spans="1:31" ht="15.75" customHeight="1">
      <c r="A42" s="434"/>
      <c r="B42" s="434"/>
      <c r="C42" s="434"/>
      <c r="D42" s="434"/>
      <c r="E42" s="434"/>
      <c r="F42" s="435"/>
      <c r="G42" s="435"/>
      <c r="H42" s="435"/>
      <c r="I42" s="435"/>
      <c r="J42" s="435"/>
      <c r="K42" s="435"/>
      <c r="L42" s="435"/>
      <c r="M42" s="435"/>
      <c r="N42" s="435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</row>
    <row r="43" spans="1:31" ht="15.75" customHeight="1">
      <c r="A43" s="434"/>
      <c r="B43" s="434"/>
      <c r="C43" s="434"/>
      <c r="D43" s="434"/>
      <c r="E43" s="434"/>
      <c r="F43" s="435"/>
      <c r="G43" s="435"/>
      <c r="H43" s="435"/>
      <c r="I43" s="435"/>
      <c r="J43" s="435"/>
      <c r="K43" s="435"/>
      <c r="L43" s="435"/>
      <c r="M43" s="435"/>
      <c r="N43" s="435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</row>
    <row r="44" spans="1:31" ht="15.75" customHeight="1">
      <c r="A44" s="434"/>
      <c r="B44" s="445"/>
      <c r="C44" s="445"/>
      <c r="D44" s="445"/>
      <c r="E44" s="445"/>
      <c r="F44" s="446"/>
      <c r="G44" s="446"/>
      <c r="H44" s="446"/>
      <c r="I44" s="446"/>
      <c r="J44" s="446"/>
      <c r="K44" s="446"/>
      <c r="L44" s="446"/>
      <c r="M44" s="446"/>
      <c r="N44" s="446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34"/>
    </row>
    <row r="45" spans="1:31" ht="17.25" customHeight="1">
      <c r="A45" s="434"/>
      <c r="B45" s="447"/>
      <c r="C45" s="537"/>
      <c r="D45" s="537"/>
      <c r="E45" s="537"/>
      <c r="F45" s="537"/>
      <c r="G45" s="448"/>
      <c r="H45" s="448"/>
      <c r="I45" s="447"/>
      <c r="J45" s="447"/>
      <c r="K45" s="447"/>
      <c r="L45" s="539" t="s">
        <v>20</v>
      </c>
      <c r="M45" s="539"/>
      <c r="N45" s="539"/>
      <c r="O45" s="539"/>
      <c r="P45" s="449"/>
      <c r="Q45" s="449"/>
      <c r="R45" s="450"/>
      <c r="S45" s="450"/>
      <c r="T45" s="450"/>
      <c r="U45" s="451" t="s">
        <v>23</v>
      </c>
      <c r="V45" s="452"/>
      <c r="W45" s="452"/>
      <c r="X45" s="452"/>
      <c r="Y45" s="452"/>
      <c r="Z45" s="452"/>
      <c r="AA45" s="452"/>
      <c r="AB45" s="452"/>
      <c r="AC45" s="452"/>
      <c r="AD45" s="445"/>
      <c r="AE45" s="443"/>
    </row>
    <row r="46" spans="1:31" ht="15" customHeight="1">
      <c r="A46" s="434"/>
      <c r="B46" s="447" t="s">
        <v>240</v>
      </c>
      <c r="C46" s="444"/>
      <c r="D46" s="444"/>
      <c r="E46" s="444"/>
      <c r="F46" s="453" t="s">
        <v>194</v>
      </c>
      <c r="G46" s="453"/>
      <c r="H46" s="453"/>
      <c r="I46" s="453"/>
      <c r="J46" s="453"/>
      <c r="K46" s="453"/>
      <c r="L46" s="538" t="s">
        <v>269</v>
      </c>
      <c r="M46" s="538"/>
      <c r="N46" s="538"/>
      <c r="O46" s="538"/>
      <c r="P46" s="445"/>
      <c r="Q46" s="445"/>
      <c r="R46" s="453"/>
      <c r="S46" s="453"/>
      <c r="T46" s="453"/>
      <c r="U46" s="447" t="s">
        <v>21</v>
      </c>
      <c r="V46" s="447"/>
      <c r="W46" s="447"/>
      <c r="X46" s="447"/>
      <c r="Y46" s="447"/>
      <c r="Z46" s="447"/>
      <c r="AA46" s="447"/>
      <c r="AB46" s="447"/>
      <c r="AC46" s="447"/>
      <c r="AD46" s="447"/>
      <c r="AE46" s="432"/>
    </row>
    <row r="47" spans="1:31" ht="17.25" customHeight="1">
      <c r="A47" s="434"/>
      <c r="B47" s="536" t="s">
        <v>18</v>
      </c>
      <c r="C47" s="536"/>
      <c r="D47" s="454"/>
      <c r="E47" s="454"/>
      <c r="F47" s="447"/>
      <c r="G47" s="447"/>
      <c r="H47" s="447"/>
      <c r="I47" s="447"/>
      <c r="J47" s="447"/>
      <c r="K47" s="447"/>
      <c r="L47" s="538" t="s">
        <v>244</v>
      </c>
      <c r="M47" s="538"/>
      <c r="N47" s="538"/>
      <c r="O47" s="538"/>
      <c r="P47" s="445"/>
      <c r="Q47" s="445"/>
      <c r="R47" s="453"/>
      <c r="S47" s="453"/>
      <c r="T47" s="453"/>
      <c r="U47" s="447" t="s">
        <v>22</v>
      </c>
      <c r="V47" s="453"/>
      <c r="W47" s="453"/>
      <c r="X47" s="453"/>
      <c r="Y47" s="453"/>
      <c r="Z47" s="453"/>
      <c r="AA47" s="453"/>
      <c r="AB47" s="453"/>
      <c r="AC47" s="453"/>
      <c r="AD47" s="447"/>
      <c r="AE47" s="432"/>
    </row>
    <row r="48" spans="1:31" ht="16.5" customHeight="1">
      <c r="A48" s="434"/>
      <c r="B48" s="536" t="s">
        <v>19</v>
      </c>
      <c r="C48" s="536"/>
      <c r="D48" s="454"/>
      <c r="E48" s="454"/>
      <c r="F48" s="447"/>
      <c r="G48" s="447"/>
      <c r="H48" s="447"/>
      <c r="I48" s="447"/>
      <c r="J48" s="447"/>
      <c r="K48" s="447"/>
      <c r="L48" s="479" t="s">
        <v>22</v>
      </c>
      <c r="M48" s="479"/>
      <c r="N48" s="479"/>
      <c r="O48" s="478"/>
      <c r="P48" s="445"/>
      <c r="Q48" s="445"/>
      <c r="R48" s="445"/>
      <c r="S48" s="445"/>
      <c r="T48" s="445"/>
      <c r="U48" s="447" t="s">
        <v>24</v>
      </c>
      <c r="V48" s="447"/>
      <c r="W48" s="447"/>
      <c r="X48" s="447"/>
      <c r="Y48" s="447"/>
      <c r="Z48" s="447"/>
      <c r="AA48" s="447"/>
      <c r="AB48" s="447"/>
      <c r="AC48" s="447"/>
      <c r="AD48" s="447"/>
      <c r="AE48" s="432"/>
    </row>
    <row r="49" spans="2:30" ht="18.75" customHeight="1"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79" t="s">
        <v>202</v>
      </c>
      <c r="M49" s="479"/>
      <c r="N49" s="479"/>
      <c r="O49" s="480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</row>
    <row r="50" spans="12:15" ht="16.5">
      <c r="L50" s="481"/>
      <c r="M50" s="481"/>
      <c r="N50" s="481"/>
      <c r="O50" s="481"/>
    </row>
  </sheetData>
  <sheetProtection/>
  <mergeCells count="24">
    <mergeCell ref="B48:C48"/>
    <mergeCell ref="L4:N4"/>
    <mergeCell ref="C4:E4"/>
    <mergeCell ref="F4:H4"/>
    <mergeCell ref="I4:K4"/>
    <mergeCell ref="O4:Q4"/>
    <mergeCell ref="C45:F45"/>
    <mergeCell ref="L45:O45"/>
    <mergeCell ref="L46:O46"/>
    <mergeCell ref="B47:C47"/>
    <mergeCell ref="L47:O47"/>
    <mergeCell ref="R4:T4"/>
    <mergeCell ref="U4:W4"/>
    <mergeCell ref="X4:Z4"/>
    <mergeCell ref="AA4:AC4"/>
    <mergeCell ref="AD4:AF4"/>
    <mergeCell ref="A6:B6"/>
    <mergeCell ref="A7:A19"/>
    <mergeCell ref="A21:A30"/>
    <mergeCell ref="A31:B31"/>
    <mergeCell ref="A32:A38"/>
    <mergeCell ref="F1:AC1"/>
    <mergeCell ref="F2:AC2"/>
    <mergeCell ref="A4:B5"/>
  </mergeCells>
  <printOptions/>
  <pageMargins left="0.3" right="0.3" top="0.5" bottom="0.5" header="0.511811023622047" footer="0.196850393700787"/>
  <pageSetup horizontalDpi="600" verticalDpi="600" orientation="landscape" paperSize="5" scale="58" r:id="rId1"/>
  <headerFooter alignWithMargins="0"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" sqref="G4:H4"/>
    </sheetView>
  </sheetViews>
  <sheetFormatPr defaultColWidth="9.140625" defaultRowHeight="12.75"/>
  <cols>
    <col min="1" max="1" width="1.421875" style="0" customWidth="1"/>
    <col min="2" max="2" width="16.28125" style="0" customWidth="1"/>
    <col min="3" max="3" width="16.8515625" style="0" customWidth="1"/>
    <col min="4" max="4" width="17.7109375" style="0" customWidth="1"/>
    <col min="5" max="5" width="14.57421875" style="0" customWidth="1"/>
    <col min="6" max="6" width="16.00390625" style="0" customWidth="1"/>
    <col min="7" max="7" width="15.7109375" style="0" customWidth="1"/>
    <col min="8" max="8" width="15.57421875" style="0" customWidth="1"/>
    <col min="9" max="10" width="14.421875" style="0" customWidth="1"/>
    <col min="11" max="11" width="16.28125" style="0" customWidth="1"/>
  </cols>
  <sheetData>
    <row r="1" spans="2:14" ht="19.5">
      <c r="B1" s="570" t="s">
        <v>203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</row>
    <row r="2" spans="2:14" ht="13.5" customHeight="1">
      <c r="B2" s="571" t="s">
        <v>193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</row>
    <row r="3" spans="2:14" ht="15.75">
      <c r="B3" s="423"/>
      <c r="C3" s="423"/>
      <c r="D3" s="423"/>
      <c r="E3" s="423"/>
      <c r="F3" s="571" t="s">
        <v>280</v>
      </c>
      <c r="G3" s="571"/>
      <c r="H3" s="571"/>
      <c r="I3" s="571"/>
      <c r="J3" s="423"/>
      <c r="K3" s="423"/>
      <c r="L3" s="423"/>
      <c r="M3" s="423"/>
      <c r="N3" s="423"/>
    </row>
    <row r="4" spans="2:11" ht="15.75">
      <c r="B4" s="343" t="s">
        <v>264</v>
      </c>
      <c r="C4" s="7"/>
      <c r="D4" s="3"/>
      <c r="E4" s="381"/>
      <c r="F4" s="343"/>
      <c r="G4" s="572" t="s">
        <v>274</v>
      </c>
      <c r="H4" s="573"/>
      <c r="J4" s="2"/>
      <c r="K4" s="2"/>
    </row>
    <row r="5" spans="2:11" ht="15.75">
      <c r="B5" s="1"/>
      <c r="C5" s="572" t="s">
        <v>204</v>
      </c>
      <c r="D5" s="572"/>
      <c r="E5" s="572"/>
      <c r="F5" s="572"/>
      <c r="G5" s="2"/>
      <c r="H5" s="2"/>
      <c r="I5" s="568" t="s">
        <v>281</v>
      </c>
      <c r="J5" s="569"/>
      <c r="K5" s="569"/>
    </row>
    <row r="6" spans="2:11" s="14" customFormat="1" ht="7.5" customHeight="1" thickBot="1">
      <c r="B6" s="11"/>
      <c r="C6" s="12"/>
      <c r="D6" s="12"/>
      <c r="E6" s="11"/>
      <c r="F6" s="11"/>
      <c r="G6" s="11"/>
      <c r="H6" s="11"/>
      <c r="I6" s="11"/>
      <c r="J6" s="11"/>
      <c r="K6" s="11"/>
    </row>
    <row r="7" spans="1:11" ht="15.75">
      <c r="A7" s="305"/>
      <c r="B7" s="352" t="s">
        <v>189</v>
      </c>
      <c r="C7" s="353" t="s">
        <v>5</v>
      </c>
      <c r="D7" s="353" t="s">
        <v>7</v>
      </c>
      <c r="E7" s="353" t="s">
        <v>1</v>
      </c>
      <c r="F7" s="353" t="s">
        <v>4</v>
      </c>
      <c r="G7" s="353" t="s">
        <v>3</v>
      </c>
      <c r="H7" s="353" t="s">
        <v>2</v>
      </c>
      <c r="I7" s="353" t="s">
        <v>8</v>
      </c>
      <c r="J7" s="353" t="s">
        <v>6</v>
      </c>
      <c r="K7" s="354" t="s">
        <v>9</v>
      </c>
    </row>
    <row r="8" spans="2:11" ht="15.75">
      <c r="B8" s="335" t="s">
        <v>181</v>
      </c>
      <c r="C8" s="348" t="e">
        <f>SUM(#REF!)</f>
        <v>#REF!</v>
      </c>
      <c r="D8" s="348" t="e">
        <f>SUM(#REF!)</f>
        <v>#REF!</v>
      </c>
      <c r="E8" s="348" t="e">
        <f>SUM(#REF!)</f>
        <v>#REF!</v>
      </c>
      <c r="F8" s="348" t="e">
        <f>SUM(#REF!)</f>
        <v>#REF!</v>
      </c>
      <c r="G8" s="348" t="e">
        <f>SUM(#REF!)</f>
        <v>#REF!</v>
      </c>
      <c r="H8" s="348" t="e">
        <f>SUM(#REF!)</f>
        <v>#REF!</v>
      </c>
      <c r="I8" s="348" t="e">
        <f>SUM(#REF!)</f>
        <v>#REF!</v>
      </c>
      <c r="J8" s="348" t="e">
        <f>SUM(#REF!)</f>
        <v>#REF!</v>
      </c>
      <c r="K8" s="349" t="e">
        <f>SUM(C8:J8)</f>
        <v>#REF!</v>
      </c>
    </row>
    <row r="9" spans="2:11" ht="13.5" customHeight="1">
      <c r="B9" s="335" t="s">
        <v>182</v>
      </c>
      <c r="C9" s="347">
        <v>0</v>
      </c>
      <c r="D9" s="347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9">
        <f>SUM(C9:J9)</f>
        <v>0</v>
      </c>
    </row>
    <row r="10" spans="2:11" ht="15.75">
      <c r="B10" s="335" t="s">
        <v>187</v>
      </c>
      <c r="C10" s="347">
        <v>0</v>
      </c>
      <c r="D10" s="347">
        <v>0</v>
      </c>
      <c r="E10" s="348">
        <v>0</v>
      </c>
      <c r="F10" s="348">
        <v>0</v>
      </c>
      <c r="G10" s="348">
        <v>0</v>
      </c>
      <c r="H10" s="348">
        <v>0</v>
      </c>
      <c r="I10" s="348">
        <v>0</v>
      </c>
      <c r="J10" s="348">
        <v>0</v>
      </c>
      <c r="K10" s="349">
        <f>SUM(C10:J10)</f>
        <v>0</v>
      </c>
    </row>
    <row r="11" spans="2:11" ht="14.25" customHeight="1">
      <c r="B11" s="339" t="s">
        <v>15</v>
      </c>
      <c r="C11" s="355">
        <v>0</v>
      </c>
      <c r="D11" s="355">
        <v>0</v>
      </c>
      <c r="E11" s="356">
        <v>0</v>
      </c>
      <c r="F11" s="356">
        <v>0</v>
      </c>
      <c r="G11" s="356">
        <v>0</v>
      </c>
      <c r="H11" s="356">
        <v>0</v>
      </c>
      <c r="I11" s="356">
        <v>0</v>
      </c>
      <c r="J11" s="356">
        <v>0</v>
      </c>
      <c r="K11" s="357">
        <f>SUM(C11:J11)</f>
        <v>0</v>
      </c>
    </row>
    <row r="12" spans="2:11" ht="16.5" thickBot="1">
      <c r="B12" s="340" t="s">
        <v>183</v>
      </c>
      <c r="C12" s="350" t="e">
        <f aca="true" t="shared" si="0" ref="C12:K12">SUM(C8:C11)</f>
        <v>#REF!</v>
      </c>
      <c r="D12" s="350" t="e">
        <f t="shared" si="0"/>
        <v>#REF!</v>
      </c>
      <c r="E12" s="350" t="e">
        <f t="shared" si="0"/>
        <v>#REF!</v>
      </c>
      <c r="F12" s="350" t="e">
        <f t="shared" si="0"/>
        <v>#REF!</v>
      </c>
      <c r="G12" s="350" t="e">
        <f t="shared" si="0"/>
        <v>#REF!</v>
      </c>
      <c r="H12" s="350" t="e">
        <f t="shared" si="0"/>
        <v>#REF!</v>
      </c>
      <c r="I12" s="350" t="e">
        <f t="shared" si="0"/>
        <v>#REF!</v>
      </c>
      <c r="J12" s="350" t="e">
        <f t="shared" si="0"/>
        <v>#REF!</v>
      </c>
      <c r="K12" s="358" t="e">
        <f t="shared" si="0"/>
        <v>#REF!</v>
      </c>
    </row>
    <row r="13" spans="2:11" ht="13.5" customHeight="1">
      <c r="B13" s="374"/>
      <c r="C13" s="375"/>
      <c r="D13" s="375"/>
      <c r="E13" s="376"/>
      <c r="F13" s="376"/>
      <c r="G13" s="376"/>
      <c r="H13" s="376"/>
      <c r="I13" s="376"/>
      <c r="J13" s="376"/>
      <c r="K13" s="377"/>
    </row>
    <row r="14" spans="2:11" ht="15.75">
      <c r="B14" s="378"/>
      <c r="C14" s="575" t="s">
        <v>205</v>
      </c>
      <c r="D14" s="575"/>
      <c r="E14" s="575"/>
      <c r="F14" s="575"/>
      <c r="G14" s="377"/>
      <c r="H14" s="377"/>
      <c r="I14" s="377"/>
      <c r="J14" s="377"/>
      <c r="K14" s="377"/>
    </row>
    <row r="15" spans="2:11" ht="12" customHeight="1" thickBot="1">
      <c r="B15" s="379"/>
      <c r="C15" s="380"/>
      <c r="D15" s="380"/>
      <c r="E15" s="380"/>
      <c r="F15" s="380"/>
      <c r="G15" s="380"/>
      <c r="H15" s="380"/>
      <c r="I15" s="380"/>
      <c r="J15" s="380"/>
      <c r="K15" s="380"/>
    </row>
    <row r="16" spans="2:11" ht="13.5" customHeight="1">
      <c r="B16" s="332" t="s">
        <v>181</v>
      </c>
      <c r="C16" s="345" t="e">
        <f aca="true" t="shared" si="1" ref="C16:J16">SUM(C8)+0</f>
        <v>#REF!</v>
      </c>
      <c r="D16" s="345" t="e">
        <f t="shared" si="1"/>
        <v>#REF!</v>
      </c>
      <c r="E16" s="345" t="e">
        <f t="shared" si="1"/>
        <v>#REF!</v>
      </c>
      <c r="F16" s="345" t="e">
        <f t="shared" si="1"/>
        <v>#REF!</v>
      </c>
      <c r="G16" s="345" t="e">
        <f t="shared" si="1"/>
        <v>#REF!</v>
      </c>
      <c r="H16" s="345" t="e">
        <f t="shared" si="1"/>
        <v>#REF!</v>
      </c>
      <c r="I16" s="345" t="e">
        <f t="shared" si="1"/>
        <v>#REF!</v>
      </c>
      <c r="J16" s="345" t="e">
        <f t="shared" si="1"/>
        <v>#REF!</v>
      </c>
      <c r="K16" s="346" t="e">
        <f>SUM(C16:J16)</f>
        <v>#REF!</v>
      </c>
    </row>
    <row r="17" spans="2:11" ht="15.75">
      <c r="B17" s="335" t="s">
        <v>182</v>
      </c>
      <c r="C17" s="347">
        <v>0</v>
      </c>
      <c r="D17" s="347">
        <v>0</v>
      </c>
      <c r="E17" s="348">
        <v>0</v>
      </c>
      <c r="F17" s="348">
        <v>0</v>
      </c>
      <c r="G17" s="348">
        <v>0</v>
      </c>
      <c r="H17" s="348">
        <v>0</v>
      </c>
      <c r="I17" s="348">
        <v>0</v>
      </c>
      <c r="J17" s="348">
        <v>0</v>
      </c>
      <c r="K17" s="349">
        <f>SUM(C17:J17)</f>
        <v>0</v>
      </c>
    </row>
    <row r="18" spans="2:11" ht="15.75">
      <c r="B18" s="335" t="s">
        <v>187</v>
      </c>
      <c r="C18" s="347">
        <v>0</v>
      </c>
      <c r="D18" s="347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9">
        <f>SUM(C18:J18)</f>
        <v>0</v>
      </c>
    </row>
    <row r="19" spans="2:11" ht="15.75">
      <c r="B19" s="339" t="s">
        <v>15</v>
      </c>
      <c r="C19" s="347">
        <v>0</v>
      </c>
      <c r="D19" s="347">
        <v>0</v>
      </c>
      <c r="E19" s="348">
        <v>0</v>
      </c>
      <c r="F19" s="348">
        <v>0</v>
      </c>
      <c r="G19" s="348">
        <v>0</v>
      </c>
      <c r="H19" s="348">
        <v>0</v>
      </c>
      <c r="I19" s="348">
        <v>0</v>
      </c>
      <c r="J19" s="348">
        <v>0</v>
      </c>
      <c r="K19" s="349">
        <f>SUM(C19:J19)</f>
        <v>0</v>
      </c>
    </row>
    <row r="20" spans="2:11" ht="16.5" thickBot="1">
      <c r="B20" s="340" t="s">
        <v>183</v>
      </c>
      <c r="C20" s="372" t="e">
        <f aca="true" t="shared" si="2" ref="C20:J20">SUM(C16:C19)</f>
        <v>#REF!</v>
      </c>
      <c r="D20" s="372" t="e">
        <f t="shared" si="2"/>
        <v>#REF!</v>
      </c>
      <c r="E20" s="372" t="e">
        <f t="shared" si="2"/>
        <v>#REF!</v>
      </c>
      <c r="F20" s="372" t="e">
        <f t="shared" si="2"/>
        <v>#REF!</v>
      </c>
      <c r="G20" s="372" t="e">
        <f t="shared" si="2"/>
        <v>#REF!</v>
      </c>
      <c r="H20" s="372" t="e">
        <f t="shared" si="2"/>
        <v>#REF!</v>
      </c>
      <c r="I20" s="372" t="e">
        <f t="shared" si="2"/>
        <v>#REF!</v>
      </c>
      <c r="J20" s="372" t="e">
        <f t="shared" si="2"/>
        <v>#REF!</v>
      </c>
      <c r="K20" s="373" t="e">
        <f>SUM(C20:J20)</f>
        <v>#REF!</v>
      </c>
    </row>
    <row r="21" spans="2:11" ht="12.75" customHeight="1">
      <c r="B21" s="301"/>
      <c r="C21" s="239"/>
      <c r="D21" s="239"/>
      <c r="E21" s="302"/>
      <c r="F21" s="302"/>
      <c r="G21" s="302"/>
      <c r="H21" s="302"/>
      <c r="I21" s="302"/>
      <c r="J21" s="302"/>
      <c r="K21" s="302"/>
    </row>
    <row r="22" spans="2:11" ht="15" customHeight="1">
      <c r="B22" s="301"/>
      <c r="C22" s="572" t="s">
        <v>206</v>
      </c>
      <c r="D22" s="572"/>
      <c r="E22" s="572"/>
      <c r="F22" s="572"/>
      <c r="G22" s="302"/>
      <c r="H22" s="302"/>
      <c r="I22" s="302"/>
      <c r="J22" s="302"/>
      <c r="K22" s="302"/>
    </row>
    <row r="23" spans="2:11" ht="12.75" customHeight="1" thickBot="1">
      <c r="B23" s="301"/>
      <c r="C23" s="239"/>
      <c r="D23" s="239"/>
      <c r="E23" s="302"/>
      <c r="F23" s="302"/>
      <c r="G23" s="302"/>
      <c r="H23" s="302"/>
      <c r="I23" s="302"/>
      <c r="J23" s="302"/>
      <c r="K23" s="302"/>
    </row>
    <row r="24" spans="2:11" ht="12.75" customHeight="1">
      <c r="B24" s="332" t="s">
        <v>181</v>
      </c>
      <c r="C24" s="333" t="e">
        <f>SUM(C12*23000)</f>
        <v>#REF!</v>
      </c>
      <c r="D24" s="333" t="e">
        <f aca="true" t="shared" si="3" ref="D24:J24">SUM(D12*23000)</f>
        <v>#REF!</v>
      </c>
      <c r="E24" s="333" t="e">
        <f t="shared" si="3"/>
        <v>#REF!</v>
      </c>
      <c r="F24" s="333" t="e">
        <f t="shared" si="3"/>
        <v>#REF!</v>
      </c>
      <c r="G24" s="333" t="e">
        <f t="shared" si="3"/>
        <v>#REF!</v>
      </c>
      <c r="H24" s="333" t="e">
        <f t="shared" si="3"/>
        <v>#REF!</v>
      </c>
      <c r="I24" s="333" t="e">
        <f t="shared" si="3"/>
        <v>#REF!</v>
      </c>
      <c r="J24" s="333" t="e">
        <f t="shared" si="3"/>
        <v>#REF!</v>
      </c>
      <c r="K24" s="333" t="e">
        <f>SUM(K12*23000)</f>
        <v>#REF!</v>
      </c>
    </row>
    <row r="25" spans="2:11" ht="13.5" customHeight="1">
      <c r="B25" s="335" t="s">
        <v>182</v>
      </c>
      <c r="C25" s="336">
        <v>0</v>
      </c>
      <c r="D25" s="336">
        <v>0</v>
      </c>
      <c r="E25" s="337">
        <v>0</v>
      </c>
      <c r="F25" s="337">
        <v>0</v>
      </c>
      <c r="G25" s="337">
        <v>0</v>
      </c>
      <c r="H25" s="337">
        <v>0</v>
      </c>
      <c r="I25" s="337">
        <v>0</v>
      </c>
      <c r="J25" s="337">
        <v>0</v>
      </c>
      <c r="K25" s="338">
        <f>SUM(C25:J25)</f>
        <v>0</v>
      </c>
    </row>
    <row r="26" spans="2:11" ht="14.25" customHeight="1">
      <c r="B26" s="335" t="s">
        <v>187</v>
      </c>
      <c r="C26" s="336">
        <v>0</v>
      </c>
      <c r="D26" s="336">
        <v>0</v>
      </c>
      <c r="E26" s="337">
        <v>0</v>
      </c>
      <c r="F26" s="337">
        <v>0</v>
      </c>
      <c r="G26" s="337">
        <v>0</v>
      </c>
      <c r="H26" s="337">
        <v>0</v>
      </c>
      <c r="I26" s="337">
        <v>0</v>
      </c>
      <c r="J26" s="337">
        <v>0</v>
      </c>
      <c r="K26" s="338">
        <f>SUM(C26:J26)</f>
        <v>0</v>
      </c>
    </row>
    <row r="27" spans="2:11" ht="13.5" customHeight="1">
      <c r="B27" s="339" t="s">
        <v>15</v>
      </c>
      <c r="C27" s="336">
        <v>0</v>
      </c>
      <c r="D27" s="336">
        <v>0</v>
      </c>
      <c r="E27" s="337">
        <v>0</v>
      </c>
      <c r="F27" s="337">
        <v>0</v>
      </c>
      <c r="G27" s="337">
        <v>0</v>
      </c>
      <c r="H27" s="337">
        <v>0</v>
      </c>
      <c r="I27" s="337">
        <v>0</v>
      </c>
      <c r="J27" s="337">
        <v>0</v>
      </c>
      <c r="K27" s="338">
        <f>SUM(C27:J27)</f>
        <v>0</v>
      </c>
    </row>
    <row r="28" spans="2:11" ht="13.5" customHeight="1" thickBot="1">
      <c r="B28" s="340" t="s">
        <v>183</v>
      </c>
      <c r="C28" s="370" t="e">
        <f aca="true" t="shared" si="4" ref="C28:J28">SUM(C24:C27)</f>
        <v>#REF!</v>
      </c>
      <c r="D28" s="370" t="e">
        <f t="shared" si="4"/>
        <v>#REF!</v>
      </c>
      <c r="E28" s="370" t="e">
        <f t="shared" si="4"/>
        <v>#REF!</v>
      </c>
      <c r="F28" s="370" t="e">
        <f t="shared" si="4"/>
        <v>#REF!</v>
      </c>
      <c r="G28" s="370" t="e">
        <f t="shared" si="4"/>
        <v>#REF!</v>
      </c>
      <c r="H28" s="370" t="e">
        <f t="shared" si="4"/>
        <v>#REF!</v>
      </c>
      <c r="I28" s="370" t="e">
        <f t="shared" si="4"/>
        <v>#REF!</v>
      </c>
      <c r="J28" s="370" t="e">
        <f t="shared" si="4"/>
        <v>#REF!</v>
      </c>
      <c r="K28" s="371" t="e">
        <f>SUM(C28:J28)</f>
        <v>#REF!</v>
      </c>
    </row>
    <row r="29" spans="2:11" ht="9.75" customHeight="1">
      <c r="B29" s="301"/>
      <c r="C29" s="239"/>
      <c r="D29" s="239"/>
      <c r="E29" s="302"/>
      <c r="F29" s="302"/>
      <c r="G29" s="302"/>
      <c r="H29" s="302"/>
      <c r="I29" s="302"/>
      <c r="J29" s="302"/>
      <c r="K29" s="302"/>
    </row>
    <row r="30" spans="2:11" ht="15.75">
      <c r="B30" s="300"/>
      <c r="C30" s="572" t="s">
        <v>207</v>
      </c>
      <c r="D30" s="572"/>
      <c r="E30" s="572"/>
      <c r="F30" s="572"/>
      <c r="G30" s="304"/>
      <c r="H30" s="304"/>
      <c r="I30" s="304"/>
      <c r="J30" s="304"/>
      <c r="K30" s="304"/>
    </row>
    <row r="31" spans="2:11" ht="7.5" customHeight="1" thickBot="1">
      <c r="B31" s="300"/>
      <c r="C31" s="304"/>
      <c r="D31" s="304"/>
      <c r="E31" s="304"/>
      <c r="F31" s="304"/>
      <c r="G31" s="304"/>
      <c r="H31" s="304"/>
      <c r="I31" s="304"/>
      <c r="J31" s="304"/>
      <c r="K31" s="304"/>
    </row>
    <row r="32" spans="2:11" ht="15.75">
      <c r="B32" s="332" t="s">
        <v>181</v>
      </c>
      <c r="C32" s="333" t="e">
        <f>SUM(C20*22000)</f>
        <v>#REF!</v>
      </c>
      <c r="D32" s="333" t="e">
        <f aca="true" t="shared" si="5" ref="D32:J32">SUM(D20*22000)</f>
        <v>#REF!</v>
      </c>
      <c r="E32" s="333" t="e">
        <f t="shared" si="5"/>
        <v>#REF!</v>
      </c>
      <c r="F32" s="333" t="e">
        <f t="shared" si="5"/>
        <v>#REF!</v>
      </c>
      <c r="G32" s="333" t="e">
        <f t="shared" si="5"/>
        <v>#REF!</v>
      </c>
      <c r="H32" s="333" t="e">
        <f t="shared" si="5"/>
        <v>#REF!</v>
      </c>
      <c r="I32" s="333" t="e">
        <f t="shared" si="5"/>
        <v>#REF!</v>
      </c>
      <c r="J32" s="333" t="e">
        <f t="shared" si="5"/>
        <v>#REF!</v>
      </c>
      <c r="K32" s="334" t="e">
        <f>SUM(C32:J32)</f>
        <v>#REF!</v>
      </c>
    </row>
    <row r="33" spans="2:11" ht="15.75">
      <c r="B33" s="335" t="s">
        <v>182</v>
      </c>
      <c r="C33" s="336">
        <v>0</v>
      </c>
      <c r="D33" s="336">
        <v>0</v>
      </c>
      <c r="E33" s="337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0</v>
      </c>
      <c r="K33" s="338">
        <f>SUM(C33:J33)</f>
        <v>0</v>
      </c>
    </row>
    <row r="34" spans="2:11" ht="12.75" customHeight="1">
      <c r="B34" s="335" t="s">
        <v>187</v>
      </c>
      <c r="C34" s="336">
        <v>0</v>
      </c>
      <c r="D34" s="336">
        <v>0</v>
      </c>
      <c r="E34" s="337">
        <v>0</v>
      </c>
      <c r="F34" s="337">
        <v>0</v>
      </c>
      <c r="G34" s="337">
        <v>0</v>
      </c>
      <c r="H34" s="337">
        <v>0</v>
      </c>
      <c r="I34" s="337">
        <v>0</v>
      </c>
      <c r="J34" s="337">
        <v>0</v>
      </c>
      <c r="K34" s="338">
        <f>SUM(C34:J34)</f>
        <v>0</v>
      </c>
    </row>
    <row r="35" spans="2:11" ht="15.75">
      <c r="B35" s="339" t="s">
        <v>15</v>
      </c>
      <c r="C35" s="336">
        <v>0</v>
      </c>
      <c r="D35" s="336">
        <v>0</v>
      </c>
      <c r="E35" s="337">
        <v>0</v>
      </c>
      <c r="F35" s="337">
        <v>0</v>
      </c>
      <c r="G35" s="337">
        <v>0</v>
      </c>
      <c r="H35" s="337">
        <v>0</v>
      </c>
      <c r="I35" s="337">
        <v>0</v>
      </c>
      <c r="J35" s="337">
        <v>0</v>
      </c>
      <c r="K35" s="338">
        <f>SUM(C35:J35)</f>
        <v>0</v>
      </c>
    </row>
    <row r="36" spans="2:11" ht="13.5" customHeight="1" thickBot="1">
      <c r="B36" s="340" t="s">
        <v>183</v>
      </c>
      <c r="C36" s="370" t="e">
        <f aca="true" t="shared" si="6" ref="C36:J36">SUM(C32:C35)</f>
        <v>#REF!</v>
      </c>
      <c r="D36" s="370" t="e">
        <f t="shared" si="6"/>
        <v>#REF!</v>
      </c>
      <c r="E36" s="370" t="e">
        <f t="shared" si="6"/>
        <v>#REF!</v>
      </c>
      <c r="F36" s="370" t="e">
        <f t="shared" si="6"/>
        <v>#REF!</v>
      </c>
      <c r="G36" s="370" t="e">
        <f t="shared" si="6"/>
        <v>#REF!</v>
      </c>
      <c r="H36" s="370" t="e">
        <f t="shared" si="6"/>
        <v>#REF!</v>
      </c>
      <c r="I36" s="370" t="e">
        <f t="shared" si="6"/>
        <v>#REF!</v>
      </c>
      <c r="J36" s="370" t="e">
        <f t="shared" si="6"/>
        <v>#REF!</v>
      </c>
      <c r="K36" s="371" t="e">
        <f>SUM(C36:J36)</f>
        <v>#REF!</v>
      </c>
    </row>
    <row r="37" spans="2:11" ht="8.25" customHeight="1">
      <c r="B37" s="301"/>
      <c r="C37" s="10"/>
      <c r="D37" s="10"/>
      <c r="E37" s="9"/>
      <c r="F37" s="9"/>
      <c r="G37" s="9"/>
      <c r="H37" s="9"/>
      <c r="I37" s="9"/>
      <c r="J37" s="9"/>
      <c r="K37" s="9"/>
    </row>
    <row r="38" spans="2:10" ht="15.75">
      <c r="B38" s="8"/>
      <c r="E38" s="1"/>
      <c r="F38" s="574" t="s">
        <v>20</v>
      </c>
      <c r="G38" s="574"/>
      <c r="H38" s="1"/>
      <c r="J38" s="344" t="s">
        <v>23</v>
      </c>
    </row>
    <row r="39" spans="2:10" ht="15.75">
      <c r="B39" s="301" t="s">
        <v>185</v>
      </c>
      <c r="D39" s="301" t="s">
        <v>208</v>
      </c>
      <c r="E39" s="1"/>
      <c r="F39" s="331" t="s">
        <v>271</v>
      </c>
      <c r="G39" s="1"/>
      <c r="H39" s="1"/>
      <c r="J39" s="331" t="s">
        <v>21</v>
      </c>
    </row>
    <row r="40" spans="2:10" ht="15.75">
      <c r="B40" s="1" t="s">
        <v>186</v>
      </c>
      <c r="E40" s="1"/>
      <c r="F40" s="331" t="s">
        <v>272</v>
      </c>
      <c r="G40" s="1"/>
      <c r="H40" s="1"/>
      <c r="J40" s="331" t="s">
        <v>22</v>
      </c>
    </row>
    <row r="41" spans="2:10" ht="15.75">
      <c r="B41" s="1" t="s">
        <v>184</v>
      </c>
      <c r="E41" s="1"/>
      <c r="F41" s="331" t="s">
        <v>22</v>
      </c>
      <c r="G41" s="1"/>
      <c r="H41" s="1"/>
      <c r="J41" s="331" t="s">
        <v>24</v>
      </c>
    </row>
    <row r="42" spans="2:11" ht="15.75">
      <c r="B42" s="1" t="s">
        <v>190</v>
      </c>
      <c r="E42" s="1"/>
      <c r="F42" s="331" t="s">
        <v>25</v>
      </c>
      <c r="G42" s="1"/>
      <c r="H42" s="1"/>
      <c r="I42" s="1"/>
      <c r="J42" s="1"/>
      <c r="K42" s="1"/>
    </row>
    <row r="43" spans="2:11" ht="14.25"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mergeCells count="10">
    <mergeCell ref="F38:G38"/>
    <mergeCell ref="C30:F30"/>
    <mergeCell ref="C22:F22"/>
    <mergeCell ref="C14:F14"/>
    <mergeCell ref="I5:K5"/>
    <mergeCell ref="B1:N1"/>
    <mergeCell ref="B2:N2"/>
    <mergeCell ref="F3:I3"/>
    <mergeCell ref="G4:H4"/>
    <mergeCell ref="C5:F5"/>
  </mergeCells>
  <printOptions/>
  <pageMargins left="1.16" right="0.25" top="0.25" bottom="0.2" header="0.5" footer="0.27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="115" zoomScaleNormal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4" sqref="G24"/>
    </sheetView>
  </sheetViews>
  <sheetFormatPr defaultColWidth="9.140625" defaultRowHeight="12.75"/>
  <cols>
    <col min="1" max="1" width="2.421875" style="0" customWidth="1"/>
    <col min="2" max="2" width="14.140625" style="0" customWidth="1"/>
    <col min="3" max="4" width="15.00390625" style="0" customWidth="1"/>
    <col min="5" max="5" width="16.28125" style="0" customWidth="1"/>
    <col min="6" max="6" width="15.00390625" style="0" customWidth="1"/>
    <col min="7" max="7" width="15.7109375" style="0" customWidth="1"/>
    <col min="8" max="8" width="15.00390625" style="0" customWidth="1"/>
    <col min="9" max="9" width="14.7109375" style="0" customWidth="1"/>
    <col min="10" max="10" width="16.57421875" style="0" customWidth="1"/>
    <col min="11" max="11" width="16.140625" style="0" customWidth="1"/>
  </cols>
  <sheetData>
    <row r="1" spans="2:11" ht="19.5">
      <c r="B1" s="2"/>
      <c r="C1" s="2"/>
      <c r="D1" s="3"/>
      <c r="E1" s="3"/>
      <c r="F1" s="576" t="s">
        <v>203</v>
      </c>
      <c r="G1" s="577"/>
      <c r="H1" s="577"/>
      <c r="I1" s="577"/>
      <c r="J1" s="577"/>
      <c r="K1" s="3"/>
    </row>
    <row r="2" spans="2:11" ht="19.5">
      <c r="B2" s="15" t="s">
        <v>195</v>
      </c>
      <c r="C2" s="4"/>
      <c r="D2" s="328"/>
      <c r="E2" s="578"/>
      <c r="F2" s="578"/>
      <c r="G2" s="423" t="s">
        <v>193</v>
      </c>
      <c r="H2" s="2"/>
      <c r="J2" s="2"/>
      <c r="K2" s="3"/>
    </row>
    <row r="3" spans="2:11" ht="15.75">
      <c r="B3" s="1"/>
      <c r="C3" s="329"/>
      <c r="D3" s="328"/>
      <c r="E3" s="572" t="s">
        <v>279</v>
      </c>
      <c r="F3" s="572"/>
      <c r="G3" s="572"/>
      <c r="H3" s="572"/>
      <c r="I3" s="572"/>
      <c r="J3" s="572"/>
      <c r="K3" s="572"/>
    </row>
    <row r="4" spans="2:11" ht="16.5">
      <c r="B4" s="1"/>
      <c r="C4" s="572" t="s">
        <v>204</v>
      </c>
      <c r="D4" s="572"/>
      <c r="E4" s="572"/>
      <c r="F4" s="572"/>
      <c r="G4" s="572" t="s">
        <v>275</v>
      </c>
      <c r="H4" s="572"/>
      <c r="I4" s="572"/>
      <c r="J4" s="579" t="s">
        <v>278</v>
      </c>
      <c r="K4" s="579"/>
    </row>
    <row r="5" spans="2:11" s="14" customFormat="1" ht="3" customHeight="1" thickBot="1">
      <c r="B5" s="11"/>
      <c r="C5" s="12"/>
      <c r="D5" s="12"/>
      <c r="E5" s="11"/>
      <c r="F5" s="11"/>
      <c r="G5" s="11"/>
      <c r="H5" s="11"/>
      <c r="I5" s="11"/>
      <c r="J5" s="11"/>
      <c r="K5" s="11"/>
    </row>
    <row r="6" spans="1:11" ht="15.75">
      <c r="A6" s="305"/>
      <c r="B6" s="352" t="s">
        <v>189</v>
      </c>
      <c r="C6" s="353" t="s">
        <v>5</v>
      </c>
      <c r="D6" s="353" t="s">
        <v>7</v>
      </c>
      <c r="E6" s="353" t="s">
        <v>1</v>
      </c>
      <c r="F6" s="353" t="s">
        <v>4</v>
      </c>
      <c r="G6" s="353" t="s">
        <v>3</v>
      </c>
      <c r="H6" s="353" t="s">
        <v>2</v>
      </c>
      <c r="I6" s="353" t="s">
        <v>8</v>
      </c>
      <c r="J6" s="353" t="s">
        <v>6</v>
      </c>
      <c r="K6" s="354" t="s">
        <v>9</v>
      </c>
    </row>
    <row r="7" spans="2:11" ht="15.75">
      <c r="B7" s="335" t="s">
        <v>181</v>
      </c>
      <c r="C7" s="348" t="e">
        <f>SUM(#REF!)</f>
        <v>#REF!</v>
      </c>
      <c r="D7" s="348" t="e">
        <f>SUM(#REF!)</f>
        <v>#REF!</v>
      </c>
      <c r="E7" s="348" t="e">
        <f>SUM(#REF!)</f>
        <v>#REF!</v>
      </c>
      <c r="F7" s="348" t="e">
        <f>SUM(#REF!)</f>
        <v>#REF!</v>
      </c>
      <c r="G7" s="348" t="e">
        <f>SUM(#REF!)</f>
        <v>#REF!</v>
      </c>
      <c r="H7" s="348" t="e">
        <f>SUM(#REF!)</f>
        <v>#REF!</v>
      </c>
      <c r="I7" s="348" t="e">
        <f>SUM(#REF!)</f>
        <v>#REF!</v>
      </c>
      <c r="J7" s="348" t="e">
        <f>SUM(#REF!)</f>
        <v>#REF!</v>
      </c>
      <c r="K7" s="349" t="e">
        <f>SUM(C7:J7)</f>
        <v>#REF!</v>
      </c>
    </row>
    <row r="8" spans="2:11" ht="13.5" customHeight="1">
      <c r="B8" s="335" t="s">
        <v>182</v>
      </c>
      <c r="C8" s="347">
        <v>0</v>
      </c>
      <c r="D8" s="347">
        <v>0</v>
      </c>
      <c r="E8" s="348">
        <v>0</v>
      </c>
      <c r="F8" s="348">
        <v>0</v>
      </c>
      <c r="G8" s="348">
        <v>0</v>
      </c>
      <c r="H8" s="348">
        <v>0</v>
      </c>
      <c r="I8" s="348">
        <v>0</v>
      </c>
      <c r="J8" s="348">
        <v>0</v>
      </c>
      <c r="K8" s="349">
        <f>SUM(C8:J8)</f>
        <v>0</v>
      </c>
    </row>
    <row r="9" spans="2:11" ht="15.75">
      <c r="B9" s="335" t="s">
        <v>187</v>
      </c>
      <c r="C9" s="347">
        <v>0</v>
      </c>
      <c r="D9" s="347">
        <v>0</v>
      </c>
      <c r="E9" s="348">
        <v>0</v>
      </c>
      <c r="F9" s="348">
        <v>0</v>
      </c>
      <c r="G9" s="348">
        <v>0</v>
      </c>
      <c r="H9" s="348">
        <v>0</v>
      </c>
      <c r="I9" s="348">
        <v>0</v>
      </c>
      <c r="J9" s="348">
        <v>0</v>
      </c>
      <c r="K9" s="349">
        <f>SUM(C9:J9)</f>
        <v>0</v>
      </c>
    </row>
    <row r="10" spans="2:11" ht="14.25" customHeight="1">
      <c r="B10" s="339" t="s">
        <v>15</v>
      </c>
      <c r="C10" s="355">
        <v>0</v>
      </c>
      <c r="D10" s="355">
        <v>0</v>
      </c>
      <c r="E10" s="356">
        <v>0</v>
      </c>
      <c r="F10" s="356">
        <v>0</v>
      </c>
      <c r="G10" s="356">
        <v>0</v>
      </c>
      <c r="H10" s="356">
        <v>0</v>
      </c>
      <c r="I10" s="356">
        <v>0</v>
      </c>
      <c r="J10" s="356">
        <v>0</v>
      </c>
      <c r="K10" s="357">
        <f>SUM(C10:J10)</f>
        <v>0</v>
      </c>
    </row>
    <row r="11" spans="2:11" ht="16.5" thickBot="1">
      <c r="B11" s="340" t="s">
        <v>183</v>
      </c>
      <c r="C11" s="350" t="e">
        <f aca="true" t="shared" si="0" ref="C11:K11">SUM(C7:C10)</f>
        <v>#REF!</v>
      </c>
      <c r="D11" s="350" t="e">
        <f t="shared" si="0"/>
        <v>#REF!</v>
      </c>
      <c r="E11" s="350" t="e">
        <f t="shared" si="0"/>
        <v>#REF!</v>
      </c>
      <c r="F11" s="350" t="e">
        <f t="shared" si="0"/>
        <v>#REF!</v>
      </c>
      <c r="G11" s="350" t="e">
        <f t="shared" si="0"/>
        <v>#REF!</v>
      </c>
      <c r="H11" s="350" t="e">
        <f t="shared" si="0"/>
        <v>#REF!</v>
      </c>
      <c r="I11" s="350" t="e">
        <f t="shared" si="0"/>
        <v>#REF!</v>
      </c>
      <c r="J11" s="350" t="e">
        <f t="shared" si="0"/>
        <v>#REF!</v>
      </c>
      <c r="K11" s="358" t="e">
        <f t="shared" si="0"/>
        <v>#REF!</v>
      </c>
    </row>
    <row r="12" spans="2:11" ht="13.5" customHeight="1">
      <c r="B12" s="301"/>
      <c r="C12" s="239"/>
      <c r="D12" s="239"/>
      <c r="E12" s="302"/>
      <c r="F12" s="302"/>
      <c r="G12" s="302"/>
      <c r="H12" s="302"/>
      <c r="I12" s="302"/>
      <c r="J12" s="302"/>
      <c r="K12" s="303"/>
    </row>
    <row r="13" spans="2:11" ht="15.75">
      <c r="B13" s="8"/>
      <c r="C13" s="575" t="s">
        <v>205</v>
      </c>
      <c r="D13" s="575"/>
      <c r="E13" s="575"/>
      <c r="F13" s="575"/>
      <c r="G13" s="303"/>
      <c r="H13" s="303"/>
      <c r="I13" s="303"/>
      <c r="J13" s="303"/>
      <c r="K13" s="303"/>
    </row>
    <row r="14" spans="2:11" ht="9" customHeight="1" thickBot="1">
      <c r="B14" s="300"/>
      <c r="C14" s="304"/>
      <c r="D14" s="304"/>
      <c r="E14" s="304"/>
      <c r="F14" s="304"/>
      <c r="G14" s="304"/>
      <c r="H14" s="304"/>
      <c r="I14" s="304"/>
      <c r="J14" s="304"/>
      <c r="K14" s="304"/>
    </row>
    <row r="15" spans="2:11" ht="13.5" customHeight="1">
      <c r="B15" s="332" t="s">
        <v>181</v>
      </c>
      <c r="C15" s="345" t="e">
        <f>SUM(C7)+1014</f>
        <v>#REF!</v>
      </c>
      <c r="D15" s="345" t="e">
        <f>SUM(D7)+786</f>
        <v>#REF!</v>
      </c>
      <c r="E15" s="345" t="e">
        <f>SUM(E7)+12857</f>
        <v>#REF!</v>
      </c>
      <c r="F15" s="345" t="e">
        <f>SUM(F7)+10894</f>
        <v>#REF!</v>
      </c>
      <c r="G15" s="345" t="e">
        <f>SUM(G7)+9734.3</f>
        <v>#REF!</v>
      </c>
      <c r="H15" s="345" t="e">
        <f>SUM(H7)+11430</f>
        <v>#REF!</v>
      </c>
      <c r="I15" s="345" t="e">
        <f>SUM(I7)+16723</f>
        <v>#REF!</v>
      </c>
      <c r="J15" s="345" t="e">
        <f>SUM(J7)+2539</f>
        <v>#REF!</v>
      </c>
      <c r="K15" s="346" t="e">
        <f>SUM(C15:J15)</f>
        <v>#REF!</v>
      </c>
    </row>
    <row r="16" spans="2:11" ht="15.75">
      <c r="B16" s="335" t="s">
        <v>182</v>
      </c>
      <c r="C16" s="347">
        <v>0</v>
      </c>
      <c r="D16" s="347">
        <v>0</v>
      </c>
      <c r="E16" s="348">
        <v>0</v>
      </c>
      <c r="F16" s="348">
        <v>0</v>
      </c>
      <c r="G16" s="348">
        <v>0</v>
      </c>
      <c r="H16" s="348">
        <v>0</v>
      </c>
      <c r="I16" s="348">
        <v>0</v>
      </c>
      <c r="J16" s="348">
        <v>0</v>
      </c>
      <c r="K16" s="349">
        <f>SUM(C16:J16)</f>
        <v>0</v>
      </c>
    </row>
    <row r="17" spans="2:11" ht="15.75">
      <c r="B17" s="335" t="s">
        <v>187</v>
      </c>
      <c r="C17" s="347">
        <v>0</v>
      </c>
      <c r="D17" s="347">
        <v>0</v>
      </c>
      <c r="E17" s="348">
        <v>0</v>
      </c>
      <c r="F17" s="348">
        <v>0</v>
      </c>
      <c r="G17" s="348">
        <v>0</v>
      </c>
      <c r="H17" s="348">
        <v>0</v>
      </c>
      <c r="I17" s="348">
        <v>0</v>
      </c>
      <c r="J17" s="348">
        <v>0</v>
      </c>
      <c r="K17" s="349">
        <f>SUM(C17:J17)</f>
        <v>0</v>
      </c>
    </row>
    <row r="18" spans="2:11" ht="15.75">
      <c r="B18" s="339" t="s">
        <v>15</v>
      </c>
      <c r="C18" s="347">
        <v>0</v>
      </c>
      <c r="D18" s="347">
        <v>0</v>
      </c>
      <c r="E18" s="348">
        <v>0</v>
      </c>
      <c r="F18" s="348">
        <v>0</v>
      </c>
      <c r="G18" s="348">
        <v>0</v>
      </c>
      <c r="H18" s="348">
        <v>0</v>
      </c>
      <c r="I18" s="348">
        <v>0</v>
      </c>
      <c r="J18" s="348">
        <v>0</v>
      </c>
      <c r="K18" s="349">
        <f>SUM(C18:J18)</f>
        <v>0</v>
      </c>
    </row>
    <row r="19" spans="2:11" ht="16.5" thickBot="1">
      <c r="B19" s="340" t="s">
        <v>183</v>
      </c>
      <c r="C19" s="350" t="e">
        <f aca="true" t="shared" si="1" ref="C19:J19">SUM(C15:C18)</f>
        <v>#REF!</v>
      </c>
      <c r="D19" s="350" t="e">
        <f t="shared" si="1"/>
        <v>#REF!</v>
      </c>
      <c r="E19" s="350" t="e">
        <f t="shared" si="1"/>
        <v>#REF!</v>
      </c>
      <c r="F19" s="350" t="e">
        <f t="shared" si="1"/>
        <v>#REF!</v>
      </c>
      <c r="G19" s="350" t="e">
        <f t="shared" si="1"/>
        <v>#REF!</v>
      </c>
      <c r="H19" s="350" t="e">
        <f t="shared" si="1"/>
        <v>#REF!</v>
      </c>
      <c r="I19" s="350" t="e">
        <f t="shared" si="1"/>
        <v>#REF!</v>
      </c>
      <c r="J19" s="350" t="e">
        <f t="shared" si="1"/>
        <v>#REF!</v>
      </c>
      <c r="K19" s="351" t="e">
        <f>SUM(C19:J19)</f>
        <v>#REF!</v>
      </c>
    </row>
    <row r="20" spans="2:11" ht="12.75" customHeight="1">
      <c r="B20" s="301"/>
      <c r="C20" s="239"/>
      <c r="D20" s="239"/>
      <c r="E20" s="302"/>
      <c r="F20" s="302"/>
      <c r="G20" s="302"/>
      <c r="H20" s="302"/>
      <c r="I20" s="302"/>
      <c r="J20" s="302"/>
      <c r="K20" s="302"/>
    </row>
    <row r="21" spans="2:11" ht="15.75" customHeight="1">
      <c r="B21" s="301"/>
      <c r="C21" s="572" t="s">
        <v>206</v>
      </c>
      <c r="D21" s="572"/>
      <c r="E21" s="572"/>
      <c r="F21" s="572"/>
      <c r="G21" s="302"/>
      <c r="H21" s="302"/>
      <c r="I21" s="302"/>
      <c r="J21" s="302"/>
      <c r="K21" s="302"/>
    </row>
    <row r="22" spans="2:11" ht="8.25" customHeight="1" thickBot="1">
      <c r="B22" s="301"/>
      <c r="C22" s="239"/>
      <c r="D22" s="239"/>
      <c r="E22" s="302"/>
      <c r="F22" s="302"/>
      <c r="G22" s="302"/>
      <c r="H22" s="302"/>
      <c r="I22" s="302"/>
      <c r="J22" s="302"/>
      <c r="K22" s="302"/>
    </row>
    <row r="23" spans="2:11" ht="12.75" customHeight="1">
      <c r="B23" s="332" t="s">
        <v>181</v>
      </c>
      <c r="C23" s="333" t="e">
        <f>SUM(C11*28000)</f>
        <v>#REF!</v>
      </c>
      <c r="D23" s="333" t="e">
        <f aca="true" t="shared" si="2" ref="D23:J23">SUM(D11*28000)</f>
        <v>#REF!</v>
      </c>
      <c r="E23" s="333" t="e">
        <f t="shared" si="2"/>
        <v>#REF!</v>
      </c>
      <c r="F23" s="333" t="e">
        <f t="shared" si="2"/>
        <v>#REF!</v>
      </c>
      <c r="G23" s="333" t="e">
        <f t="shared" si="2"/>
        <v>#REF!</v>
      </c>
      <c r="H23" s="333" t="e">
        <f t="shared" si="2"/>
        <v>#REF!</v>
      </c>
      <c r="I23" s="333" t="e">
        <f t="shared" si="2"/>
        <v>#REF!</v>
      </c>
      <c r="J23" s="333" t="e">
        <f t="shared" si="2"/>
        <v>#REF!</v>
      </c>
      <c r="K23" s="334" t="e">
        <f>SUM(C23:J23)</f>
        <v>#REF!</v>
      </c>
    </row>
    <row r="24" spans="2:11" ht="12" customHeight="1">
      <c r="B24" s="335" t="s">
        <v>182</v>
      </c>
      <c r="C24" s="336">
        <v>0</v>
      </c>
      <c r="D24" s="336">
        <v>0</v>
      </c>
      <c r="E24" s="337">
        <v>0</v>
      </c>
      <c r="F24" s="337">
        <v>0</v>
      </c>
      <c r="G24" s="337">
        <v>0</v>
      </c>
      <c r="H24" s="337">
        <v>0</v>
      </c>
      <c r="I24" s="337">
        <v>0</v>
      </c>
      <c r="J24" s="337">
        <v>0</v>
      </c>
      <c r="K24" s="338">
        <v>0</v>
      </c>
    </row>
    <row r="25" spans="2:11" ht="14.25" customHeight="1">
      <c r="B25" s="335" t="s">
        <v>187</v>
      </c>
      <c r="C25" s="336">
        <v>0</v>
      </c>
      <c r="D25" s="336">
        <v>0</v>
      </c>
      <c r="E25" s="337">
        <v>0</v>
      </c>
      <c r="F25" s="337">
        <v>0</v>
      </c>
      <c r="G25" s="337">
        <v>0</v>
      </c>
      <c r="H25" s="337">
        <v>0</v>
      </c>
      <c r="I25" s="337">
        <v>0</v>
      </c>
      <c r="J25" s="337">
        <v>0</v>
      </c>
      <c r="K25" s="338">
        <v>0</v>
      </c>
    </row>
    <row r="26" spans="2:11" ht="13.5" customHeight="1">
      <c r="B26" s="339" t="s">
        <v>15</v>
      </c>
      <c r="C26" s="336">
        <v>0</v>
      </c>
      <c r="D26" s="336">
        <v>0</v>
      </c>
      <c r="E26" s="337">
        <v>0</v>
      </c>
      <c r="F26" s="337">
        <v>0</v>
      </c>
      <c r="G26" s="337">
        <v>0</v>
      </c>
      <c r="H26" s="337">
        <v>0</v>
      </c>
      <c r="I26" s="337">
        <v>0</v>
      </c>
      <c r="J26" s="337">
        <v>0</v>
      </c>
      <c r="K26" s="338">
        <v>0</v>
      </c>
    </row>
    <row r="27" spans="2:11" ht="13.5" customHeight="1" thickBot="1">
      <c r="B27" s="340" t="s">
        <v>183</v>
      </c>
      <c r="C27" s="341" t="e">
        <f aca="true" t="shared" si="3" ref="C27:J27">SUM(C23:C26)</f>
        <v>#REF!</v>
      </c>
      <c r="D27" s="341" t="e">
        <f t="shared" si="3"/>
        <v>#REF!</v>
      </c>
      <c r="E27" s="341" t="e">
        <f t="shared" si="3"/>
        <v>#REF!</v>
      </c>
      <c r="F27" s="341" t="e">
        <f t="shared" si="3"/>
        <v>#REF!</v>
      </c>
      <c r="G27" s="341" t="e">
        <f t="shared" si="3"/>
        <v>#REF!</v>
      </c>
      <c r="H27" s="341" t="e">
        <f t="shared" si="3"/>
        <v>#REF!</v>
      </c>
      <c r="I27" s="341" t="e">
        <f t="shared" si="3"/>
        <v>#REF!</v>
      </c>
      <c r="J27" s="341" t="e">
        <f t="shared" si="3"/>
        <v>#REF!</v>
      </c>
      <c r="K27" s="342" t="e">
        <f>SUM(C27:J27)</f>
        <v>#REF!</v>
      </c>
    </row>
    <row r="28" spans="2:11" ht="14.25">
      <c r="B28" s="301"/>
      <c r="C28" s="239"/>
      <c r="D28" s="239"/>
      <c r="E28" s="302"/>
      <c r="F28" s="302"/>
      <c r="G28" s="302"/>
      <c r="H28" s="302"/>
      <c r="I28" s="302"/>
      <c r="J28" s="302"/>
      <c r="K28" s="302"/>
    </row>
    <row r="29" spans="2:11" ht="15.75">
      <c r="B29" s="300"/>
      <c r="C29" s="572" t="s">
        <v>207</v>
      </c>
      <c r="D29" s="572"/>
      <c r="E29" s="572"/>
      <c r="F29" s="572"/>
      <c r="G29" s="304"/>
      <c r="H29" s="304"/>
      <c r="I29" s="304"/>
      <c r="J29" s="304"/>
      <c r="K29" s="304"/>
    </row>
    <row r="30" spans="2:11" ht="15" thickBot="1">
      <c r="B30" s="300"/>
      <c r="C30" s="304"/>
      <c r="D30" s="304"/>
      <c r="E30" s="304"/>
      <c r="F30" s="304"/>
      <c r="G30" s="304"/>
      <c r="H30" s="304"/>
      <c r="I30" s="304"/>
      <c r="J30" s="304"/>
      <c r="K30" s="304"/>
    </row>
    <row r="31" spans="2:11" ht="15.75">
      <c r="B31" s="332" t="s">
        <v>181</v>
      </c>
      <c r="C31" s="333" t="e">
        <f>SUM(C19*28000)</f>
        <v>#REF!</v>
      </c>
      <c r="D31" s="333" t="e">
        <f aca="true" t="shared" si="4" ref="D31:J31">SUM(D19*28000)</f>
        <v>#REF!</v>
      </c>
      <c r="E31" s="333" t="e">
        <f t="shared" si="4"/>
        <v>#REF!</v>
      </c>
      <c r="F31" s="333" t="e">
        <f t="shared" si="4"/>
        <v>#REF!</v>
      </c>
      <c r="G31" s="333" t="e">
        <f t="shared" si="4"/>
        <v>#REF!</v>
      </c>
      <c r="H31" s="333" t="e">
        <f t="shared" si="4"/>
        <v>#REF!</v>
      </c>
      <c r="I31" s="333" t="e">
        <f t="shared" si="4"/>
        <v>#REF!</v>
      </c>
      <c r="J31" s="333" t="e">
        <f t="shared" si="4"/>
        <v>#REF!</v>
      </c>
      <c r="K31" s="334" t="e">
        <f>SUM(C31:J31)</f>
        <v>#REF!</v>
      </c>
    </row>
    <row r="32" spans="2:11" ht="15.75">
      <c r="B32" s="335" t="s">
        <v>182</v>
      </c>
      <c r="C32" s="336">
        <v>0</v>
      </c>
      <c r="D32" s="336">
        <v>0</v>
      </c>
      <c r="E32" s="337">
        <v>0</v>
      </c>
      <c r="F32" s="337">
        <v>0</v>
      </c>
      <c r="G32" s="337">
        <v>0</v>
      </c>
      <c r="H32" s="337">
        <v>0</v>
      </c>
      <c r="I32" s="337">
        <v>0</v>
      </c>
      <c r="J32" s="337">
        <v>0</v>
      </c>
      <c r="K32" s="338">
        <f>SUM(C32:J32)</f>
        <v>0</v>
      </c>
    </row>
    <row r="33" spans="2:11" ht="13.5" customHeight="1">
      <c r="B33" s="335" t="s">
        <v>187</v>
      </c>
      <c r="C33" s="336">
        <v>0</v>
      </c>
      <c r="D33" s="336">
        <v>0</v>
      </c>
      <c r="E33" s="337">
        <v>0</v>
      </c>
      <c r="F33" s="337">
        <v>0</v>
      </c>
      <c r="G33" s="337">
        <v>0</v>
      </c>
      <c r="H33" s="337">
        <v>0</v>
      </c>
      <c r="I33" s="337">
        <v>0</v>
      </c>
      <c r="J33" s="337">
        <v>0</v>
      </c>
      <c r="K33" s="338">
        <f>SUM(C33:J33)</f>
        <v>0</v>
      </c>
    </row>
    <row r="34" spans="2:11" ht="15.75">
      <c r="B34" s="339" t="s">
        <v>15</v>
      </c>
      <c r="C34" s="336">
        <v>0</v>
      </c>
      <c r="D34" s="336">
        <v>0</v>
      </c>
      <c r="E34" s="337">
        <v>0</v>
      </c>
      <c r="F34" s="337">
        <v>0</v>
      </c>
      <c r="G34" s="337">
        <v>0</v>
      </c>
      <c r="H34" s="337">
        <v>0</v>
      </c>
      <c r="I34" s="337">
        <v>0</v>
      </c>
      <c r="J34" s="337">
        <v>0</v>
      </c>
      <c r="K34" s="338">
        <f>SUM(C34:J34)</f>
        <v>0</v>
      </c>
    </row>
    <row r="35" spans="2:11" ht="13.5" customHeight="1" thickBot="1">
      <c r="B35" s="340" t="s">
        <v>183</v>
      </c>
      <c r="C35" s="341" t="e">
        <f aca="true" t="shared" si="5" ref="C35:J35">SUM(C31:C34)</f>
        <v>#REF!</v>
      </c>
      <c r="D35" s="341" t="e">
        <f t="shared" si="5"/>
        <v>#REF!</v>
      </c>
      <c r="E35" s="341" t="e">
        <f t="shared" si="5"/>
        <v>#REF!</v>
      </c>
      <c r="F35" s="341" t="e">
        <f t="shared" si="5"/>
        <v>#REF!</v>
      </c>
      <c r="G35" s="341" t="e">
        <f t="shared" si="5"/>
        <v>#REF!</v>
      </c>
      <c r="H35" s="341" t="e">
        <f t="shared" si="5"/>
        <v>#REF!</v>
      </c>
      <c r="I35" s="341" t="e">
        <f t="shared" si="5"/>
        <v>#REF!</v>
      </c>
      <c r="J35" s="341" t="e">
        <f t="shared" si="5"/>
        <v>#REF!</v>
      </c>
      <c r="K35" s="342" t="e">
        <f>SUM(C35:J35)</f>
        <v>#REF!</v>
      </c>
    </row>
    <row r="36" spans="2:11" ht="9.75" customHeight="1">
      <c r="B36" s="301"/>
      <c r="C36" s="10"/>
      <c r="D36" s="10"/>
      <c r="E36" s="9"/>
      <c r="F36" s="9"/>
      <c r="G36" s="9"/>
      <c r="H36" s="9"/>
      <c r="I36" s="9"/>
      <c r="J36" s="9"/>
      <c r="K36" s="9"/>
    </row>
    <row r="37" spans="2:11" ht="14.25">
      <c r="B37" s="8"/>
      <c r="C37" s="157"/>
      <c r="D37" s="157"/>
      <c r="E37" s="1"/>
      <c r="F37" s="157"/>
      <c r="G37" s="327" t="s">
        <v>20</v>
      </c>
      <c r="H37" s="330"/>
      <c r="I37" s="157"/>
      <c r="J37" s="5" t="s">
        <v>23</v>
      </c>
      <c r="K37" s="1"/>
    </row>
    <row r="38" spans="2:11" ht="14.25">
      <c r="B38" s="301" t="s">
        <v>185</v>
      </c>
      <c r="C38" s="157"/>
      <c r="D38" s="301" t="s">
        <v>208</v>
      </c>
      <c r="E38" s="1"/>
      <c r="F38" s="157"/>
      <c r="G38" s="1" t="s">
        <v>271</v>
      </c>
      <c r="H38" s="1"/>
      <c r="I38" s="157"/>
      <c r="J38" s="1" t="s">
        <v>21</v>
      </c>
      <c r="K38" s="1"/>
    </row>
    <row r="39" spans="2:11" ht="14.25">
      <c r="B39" s="1" t="s">
        <v>186</v>
      </c>
      <c r="C39" s="157"/>
      <c r="D39" s="157"/>
      <c r="E39" s="1"/>
      <c r="F39" s="157"/>
      <c r="G39" s="1" t="s">
        <v>273</v>
      </c>
      <c r="H39" s="1"/>
      <c r="I39" s="157"/>
      <c r="J39" s="1" t="s">
        <v>22</v>
      </c>
      <c r="K39" s="1"/>
    </row>
    <row r="40" spans="2:11" ht="14.25">
      <c r="B40" s="1" t="s">
        <v>184</v>
      </c>
      <c r="C40" s="157"/>
      <c r="D40" s="157"/>
      <c r="E40" s="1"/>
      <c r="F40" s="157"/>
      <c r="G40" s="1" t="s">
        <v>22</v>
      </c>
      <c r="H40" s="1"/>
      <c r="I40" s="157"/>
      <c r="J40" s="1" t="s">
        <v>24</v>
      </c>
      <c r="K40" s="1"/>
    </row>
    <row r="41" spans="2:11" ht="14.25">
      <c r="B41" s="1" t="s">
        <v>190</v>
      </c>
      <c r="C41" s="157"/>
      <c r="D41" s="157"/>
      <c r="E41" s="1"/>
      <c r="F41" s="157"/>
      <c r="G41" s="1" t="s">
        <v>25</v>
      </c>
      <c r="H41" s="1"/>
      <c r="I41" s="1"/>
      <c r="J41" s="1"/>
      <c r="K41" s="1"/>
    </row>
    <row r="42" spans="2:11" ht="14.2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/>
  <mergeCells count="9">
    <mergeCell ref="F1:J1"/>
    <mergeCell ref="E2:F2"/>
    <mergeCell ref="C29:F29"/>
    <mergeCell ref="G4:I4"/>
    <mergeCell ref="E3:K3"/>
    <mergeCell ref="C4:F4"/>
    <mergeCell ref="C13:F13"/>
    <mergeCell ref="C21:F21"/>
    <mergeCell ref="J4:K4"/>
  </mergeCells>
  <printOptions/>
  <pageMargins left="1.17" right="0.5" top="0.25" bottom="0.2" header="0.5" footer="0.26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7"/>
  <sheetViews>
    <sheetView zoomScale="130" zoomScaleNormal="130" zoomScalePageLayoutView="0" workbookViewId="0" topLeftCell="A1">
      <pane xSplit="2" ySplit="6" topLeftCell="C7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"/>
    </sheetView>
  </sheetViews>
  <sheetFormatPr defaultColWidth="9.140625" defaultRowHeight="12.75"/>
  <cols>
    <col min="1" max="1" width="2.421875" style="17" customWidth="1"/>
    <col min="2" max="2" width="22.8515625" style="17" customWidth="1"/>
    <col min="3" max="3" width="6.140625" style="17" customWidth="1"/>
    <col min="4" max="4" width="7.00390625" style="17" customWidth="1"/>
    <col min="5" max="5" width="6.7109375" style="17" customWidth="1"/>
    <col min="6" max="6" width="6.140625" style="17" customWidth="1"/>
    <col min="7" max="7" width="6.8515625" style="17" customWidth="1"/>
    <col min="8" max="10" width="6.421875" style="17" customWidth="1"/>
    <col min="11" max="11" width="7.28125" style="17" customWidth="1"/>
    <col min="12" max="12" width="6.7109375" style="17" customWidth="1"/>
    <col min="13" max="13" width="6.8515625" style="17" customWidth="1"/>
    <col min="14" max="14" width="6.57421875" style="17" customWidth="1"/>
    <col min="15" max="15" width="7.57421875" style="17" customWidth="1"/>
    <col min="16" max="16384" width="9.140625" style="17" customWidth="1"/>
  </cols>
  <sheetData>
    <row r="1" spans="1:15" ht="15">
      <c r="A1" s="43"/>
      <c r="B1" s="43"/>
      <c r="C1" s="248"/>
      <c r="D1" s="248"/>
      <c r="E1" s="248"/>
      <c r="F1" s="248"/>
      <c r="G1" s="249"/>
      <c r="H1" s="249"/>
      <c r="I1" s="249"/>
      <c r="J1" s="249"/>
      <c r="K1" s="249"/>
      <c r="L1" s="249"/>
      <c r="M1" s="249"/>
      <c r="N1" s="249"/>
      <c r="O1" s="250"/>
    </row>
    <row r="2" spans="1:15" ht="15.75">
      <c r="A2" s="43"/>
      <c r="B2" s="585" t="s">
        <v>263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</row>
    <row r="3" spans="1:16" ht="15">
      <c r="A3" s="43"/>
      <c r="B3" s="242"/>
      <c r="C3" s="242"/>
      <c r="D3" s="242"/>
      <c r="E3" s="242"/>
      <c r="F3" s="242"/>
      <c r="G3" s="242" t="s">
        <v>277</v>
      </c>
      <c r="H3" s="242"/>
      <c r="I3" s="242"/>
      <c r="J3" s="242"/>
      <c r="K3" s="242"/>
      <c r="L3" s="242"/>
      <c r="M3" s="242"/>
      <c r="N3" s="586"/>
      <c r="O3" s="586"/>
      <c r="P3" s="252"/>
    </row>
    <row r="4" spans="1:16" ht="15" customHeight="1">
      <c r="A4" s="43"/>
      <c r="B4" s="253" t="s">
        <v>152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252"/>
    </row>
    <row r="5" spans="1:16" ht="15.75" customHeight="1">
      <c r="A5" s="43"/>
      <c r="B5" s="254" t="s">
        <v>153</v>
      </c>
      <c r="C5" s="291" t="s">
        <v>251</v>
      </c>
      <c r="D5" s="291" t="s">
        <v>252</v>
      </c>
      <c r="E5" s="291" t="s">
        <v>253</v>
      </c>
      <c r="F5" s="291" t="s">
        <v>254</v>
      </c>
      <c r="G5" s="292" t="s">
        <v>255</v>
      </c>
      <c r="H5" s="292" t="s">
        <v>256</v>
      </c>
      <c r="I5" s="292" t="s">
        <v>257</v>
      </c>
      <c r="J5" s="292" t="s">
        <v>258</v>
      </c>
      <c r="K5" s="292" t="s">
        <v>259</v>
      </c>
      <c r="L5" s="292" t="s">
        <v>260</v>
      </c>
      <c r="M5" s="278" t="s">
        <v>261</v>
      </c>
      <c r="N5" s="293" t="s">
        <v>262</v>
      </c>
      <c r="O5" s="294" t="s">
        <v>129</v>
      </c>
      <c r="P5" s="252"/>
    </row>
    <row r="6" spans="1:16" ht="15">
      <c r="A6" s="580" t="s">
        <v>154</v>
      </c>
      <c r="B6" s="254" t="s">
        <v>153</v>
      </c>
      <c r="C6" s="257" t="s">
        <v>155</v>
      </c>
      <c r="D6" s="257" t="s">
        <v>155</v>
      </c>
      <c r="E6" s="257" t="s">
        <v>155</v>
      </c>
      <c r="F6" s="257" t="s">
        <v>155</v>
      </c>
      <c r="G6" s="257" t="s">
        <v>155</v>
      </c>
      <c r="H6" s="257" t="s">
        <v>155</v>
      </c>
      <c r="I6" s="257" t="s">
        <v>155</v>
      </c>
      <c r="J6" s="257" t="s">
        <v>155</v>
      </c>
      <c r="K6" s="257" t="s">
        <v>155</v>
      </c>
      <c r="L6" s="257" t="s">
        <v>155</v>
      </c>
      <c r="M6" s="257" t="s">
        <v>155</v>
      </c>
      <c r="N6" s="257" t="s">
        <v>155</v>
      </c>
      <c r="O6" s="256" t="s">
        <v>155</v>
      </c>
      <c r="P6" s="252"/>
    </row>
    <row r="7" spans="1:16" ht="12.75" customHeight="1">
      <c r="A7" s="581"/>
      <c r="B7" s="258" t="s">
        <v>156</v>
      </c>
      <c r="C7" s="259">
        <v>799.549</v>
      </c>
      <c r="D7" s="259">
        <v>805.847</v>
      </c>
      <c r="E7" s="259">
        <v>830.131</v>
      </c>
      <c r="F7" s="259">
        <v>918.982</v>
      </c>
      <c r="G7" s="259">
        <v>807.748</v>
      </c>
      <c r="H7" s="259">
        <v>812.689</v>
      </c>
      <c r="I7" s="259">
        <v>833.984</v>
      </c>
      <c r="J7" s="259">
        <v>829.456</v>
      </c>
      <c r="K7" s="259">
        <v>839.071</v>
      </c>
      <c r="L7" s="259">
        <v>843.788</v>
      </c>
      <c r="M7" s="259">
        <v>706.478</v>
      </c>
      <c r="N7" s="259">
        <v>0</v>
      </c>
      <c r="O7" s="247">
        <f>+C7+D7+E7+F7+G7+H7+I7+J7+K7+L7+M7+N7</f>
        <v>9027.723</v>
      </c>
      <c r="P7" s="252"/>
    </row>
    <row r="8" spans="1:16" ht="12.75" customHeight="1">
      <c r="A8" s="581"/>
      <c r="B8" s="258" t="s">
        <v>157</v>
      </c>
      <c r="C8" s="259">
        <v>99.4</v>
      </c>
      <c r="D8" s="259">
        <v>170.535</v>
      </c>
      <c r="E8" s="259">
        <v>222.213</v>
      </c>
      <c r="F8" s="259">
        <v>160.4</v>
      </c>
      <c r="G8" s="259">
        <v>172.9</v>
      </c>
      <c r="H8" s="259">
        <v>185.9</v>
      </c>
      <c r="I8" s="259">
        <v>189.4</v>
      </c>
      <c r="J8" s="259">
        <v>177.9</v>
      </c>
      <c r="K8" s="259">
        <v>183.5</v>
      </c>
      <c r="L8" s="259">
        <v>189.6</v>
      </c>
      <c r="M8" s="259">
        <v>56.965</v>
      </c>
      <c r="N8" s="259">
        <v>0</v>
      </c>
      <c r="O8" s="247">
        <f aca="true" t="shared" si="0" ref="O8:O27">+C8+D8+E8+F8+G8+H8+I8+J8+K8+L8+M8+N8</f>
        <v>1808.713</v>
      </c>
      <c r="P8" s="252"/>
    </row>
    <row r="9" spans="1:16" ht="12" customHeight="1">
      <c r="A9" s="581"/>
      <c r="B9" s="258" t="s">
        <v>158</v>
      </c>
      <c r="C9" s="259">
        <v>0</v>
      </c>
      <c r="D9" s="259">
        <v>0</v>
      </c>
      <c r="E9" s="259">
        <v>0</v>
      </c>
      <c r="F9" s="259">
        <f>+'[1]Daily offtake'!S55</f>
        <v>0</v>
      </c>
      <c r="G9" s="259">
        <v>0</v>
      </c>
      <c r="H9" s="259">
        <v>0</v>
      </c>
      <c r="I9" s="259">
        <v>0</v>
      </c>
      <c r="J9" s="259">
        <v>0</v>
      </c>
      <c r="K9" s="259">
        <v>0</v>
      </c>
      <c r="L9" s="259">
        <v>0</v>
      </c>
      <c r="M9" s="259">
        <v>0</v>
      </c>
      <c r="N9" s="259">
        <v>0</v>
      </c>
      <c r="O9" s="247">
        <f t="shared" si="0"/>
        <v>0</v>
      </c>
      <c r="P9" s="252"/>
    </row>
    <row r="10" spans="1:16" ht="13.5" customHeight="1">
      <c r="A10" s="581"/>
      <c r="B10" s="258" t="s">
        <v>159</v>
      </c>
      <c r="C10" s="259">
        <v>0</v>
      </c>
      <c r="D10" s="259">
        <v>0</v>
      </c>
      <c r="E10" s="259">
        <v>0</v>
      </c>
      <c r="F10" s="259">
        <v>0</v>
      </c>
      <c r="G10" s="259">
        <v>0</v>
      </c>
      <c r="H10" s="259">
        <v>0</v>
      </c>
      <c r="I10" s="259">
        <v>0</v>
      </c>
      <c r="J10" s="259">
        <v>0</v>
      </c>
      <c r="K10" s="259">
        <v>7379.25</v>
      </c>
      <c r="L10" s="259">
        <v>27960.55</v>
      </c>
      <c r="M10" s="259">
        <v>11918.5</v>
      </c>
      <c r="N10" s="259">
        <v>0</v>
      </c>
      <c r="O10" s="247">
        <f t="shared" si="0"/>
        <v>47258.3</v>
      </c>
      <c r="P10" s="252"/>
    </row>
    <row r="11" spans="1:16" ht="12" customHeight="1">
      <c r="A11" s="581"/>
      <c r="B11" s="258" t="s">
        <v>160</v>
      </c>
      <c r="C11" s="259">
        <v>0</v>
      </c>
      <c r="D11" s="259">
        <v>0</v>
      </c>
      <c r="E11" s="259">
        <v>0</v>
      </c>
      <c r="F11" s="259">
        <v>0</v>
      </c>
      <c r="G11" s="259">
        <v>0</v>
      </c>
      <c r="H11" s="259">
        <v>0</v>
      </c>
      <c r="I11" s="259">
        <v>0</v>
      </c>
      <c r="J11" s="259">
        <v>0</v>
      </c>
      <c r="K11" s="259">
        <v>0</v>
      </c>
      <c r="L11" s="259">
        <v>0</v>
      </c>
      <c r="M11" s="259">
        <v>0</v>
      </c>
      <c r="N11" s="259">
        <v>0</v>
      </c>
      <c r="O11" s="247">
        <f t="shared" si="0"/>
        <v>0</v>
      </c>
      <c r="P11" s="252"/>
    </row>
    <row r="12" spans="1:16" ht="12.75" customHeight="1">
      <c r="A12" s="581"/>
      <c r="B12" s="260" t="s">
        <v>161</v>
      </c>
      <c r="C12" s="259">
        <v>0</v>
      </c>
      <c r="D12" s="259">
        <v>0</v>
      </c>
      <c r="E12" s="259">
        <v>0</v>
      </c>
      <c r="F12" s="259">
        <v>0</v>
      </c>
      <c r="G12" s="259">
        <v>0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0</v>
      </c>
      <c r="N12" s="259">
        <v>0</v>
      </c>
      <c r="O12" s="247">
        <f t="shared" si="0"/>
        <v>0</v>
      </c>
      <c r="P12" s="252"/>
    </row>
    <row r="13" spans="1:16" ht="12" customHeight="1">
      <c r="A13" s="581"/>
      <c r="B13" s="260" t="s">
        <v>209</v>
      </c>
      <c r="C13" s="259">
        <v>0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47">
        <f t="shared" si="0"/>
        <v>0</v>
      </c>
      <c r="P13" s="252"/>
    </row>
    <row r="14" spans="1:16" ht="12.75" customHeight="1">
      <c r="A14" s="581"/>
      <c r="B14" s="260" t="s">
        <v>210</v>
      </c>
      <c r="C14" s="259">
        <v>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96.83</v>
      </c>
      <c r="L14" s="259">
        <v>44</v>
      </c>
      <c r="M14" s="259">
        <v>84.62</v>
      </c>
      <c r="N14" s="259">
        <v>0</v>
      </c>
      <c r="O14" s="247">
        <f>+C14+D14+E14+F14+G14+H14+I14+J14+K14+L14+M14+N14</f>
        <v>225.45</v>
      </c>
      <c r="P14" s="252"/>
    </row>
    <row r="15" spans="1:16" ht="12" customHeight="1">
      <c r="A15" s="581"/>
      <c r="B15" s="260" t="s">
        <v>215</v>
      </c>
      <c r="C15" s="259">
        <v>4.5</v>
      </c>
      <c r="D15" s="259">
        <v>5.007</v>
      </c>
      <c r="E15" s="259">
        <v>5.1</v>
      </c>
      <c r="F15" s="259">
        <v>5</v>
      </c>
      <c r="G15" s="259">
        <v>5</v>
      </c>
      <c r="H15" s="259">
        <v>5.3</v>
      </c>
      <c r="I15" s="259">
        <v>4.8</v>
      </c>
      <c r="J15" s="259">
        <v>3.5</v>
      </c>
      <c r="K15" s="259">
        <v>5</v>
      </c>
      <c r="L15" s="259">
        <v>15.7</v>
      </c>
      <c r="M15" s="259">
        <v>4.9</v>
      </c>
      <c r="N15" s="259">
        <v>0</v>
      </c>
      <c r="O15" s="247">
        <f>+C15+D15+E15+F15+G15+H15+I15+J15+K15+L15+M15+N15</f>
        <v>63.806999999999995</v>
      </c>
      <c r="P15" s="252"/>
    </row>
    <row r="16" spans="1:16" ht="11.25" customHeight="1">
      <c r="A16" s="581"/>
      <c r="B16" s="260" t="s">
        <v>162</v>
      </c>
      <c r="C16" s="259">
        <v>410</v>
      </c>
      <c r="D16" s="259">
        <v>577</v>
      </c>
      <c r="E16" s="259">
        <v>512</v>
      </c>
      <c r="F16" s="259">
        <v>475</v>
      </c>
      <c r="G16" s="259">
        <v>577</v>
      </c>
      <c r="H16" s="259">
        <v>577</v>
      </c>
      <c r="I16" s="259">
        <v>587</v>
      </c>
      <c r="J16" s="259">
        <v>485</v>
      </c>
      <c r="K16" s="259">
        <v>535</v>
      </c>
      <c r="L16" s="259">
        <v>587</v>
      </c>
      <c r="M16" s="259">
        <v>384</v>
      </c>
      <c r="N16" s="259">
        <v>0</v>
      </c>
      <c r="O16" s="247">
        <f t="shared" si="0"/>
        <v>5706</v>
      </c>
      <c r="P16" s="252"/>
    </row>
    <row r="17" spans="1:16" ht="11.25" customHeight="1">
      <c r="A17" s="581"/>
      <c r="B17" s="258" t="s">
        <v>163</v>
      </c>
      <c r="C17" s="259">
        <v>0</v>
      </c>
      <c r="D17" s="259">
        <v>0</v>
      </c>
      <c r="E17" s="259">
        <v>0</v>
      </c>
      <c r="F17" s="259">
        <f>+'[1]Daily offtake'!S60</f>
        <v>0</v>
      </c>
      <c r="G17" s="259">
        <v>0</v>
      </c>
      <c r="H17" s="259">
        <v>0</v>
      </c>
      <c r="I17" s="259">
        <v>0</v>
      </c>
      <c r="J17" s="259">
        <v>0</v>
      </c>
      <c r="K17" s="259">
        <v>0</v>
      </c>
      <c r="L17" s="259">
        <v>0</v>
      </c>
      <c r="M17" s="259">
        <v>0</v>
      </c>
      <c r="N17" s="259">
        <v>0</v>
      </c>
      <c r="O17" s="247">
        <f t="shared" si="0"/>
        <v>0</v>
      </c>
      <c r="P17" s="252"/>
    </row>
    <row r="18" spans="1:16" ht="15">
      <c r="A18" s="584"/>
      <c r="B18" s="243" t="s">
        <v>164</v>
      </c>
      <c r="C18" s="244">
        <f>SUM(C7:C17)</f>
        <v>1313.449</v>
      </c>
      <c r="D18" s="244">
        <f>SUM(D7:D17)</f>
        <v>1558.389</v>
      </c>
      <c r="E18" s="244">
        <f>SUM(E7:E17)</f>
        <v>1569.444</v>
      </c>
      <c r="F18" s="244">
        <f>SUM(F7:F17)</f>
        <v>1559.382</v>
      </c>
      <c r="G18" s="261">
        <f aca="true" t="shared" si="1" ref="G18:N18">SUM(G7:G17)</f>
        <v>1562.6480000000001</v>
      </c>
      <c r="H18" s="261">
        <f t="shared" si="1"/>
        <v>1580.889</v>
      </c>
      <c r="I18" s="261">
        <f t="shared" si="1"/>
        <v>1615.184</v>
      </c>
      <c r="J18" s="261">
        <f t="shared" si="1"/>
        <v>1495.856</v>
      </c>
      <c r="K18" s="261">
        <f t="shared" si="1"/>
        <v>9038.651</v>
      </c>
      <c r="L18" s="261">
        <f t="shared" si="1"/>
        <v>29640.638</v>
      </c>
      <c r="M18" s="261">
        <f t="shared" si="1"/>
        <v>13155.463</v>
      </c>
      <c r="N18" s="261">
        <f t="shared" si="1"/>
        <v>0</v>
      </c>
      <c r="O18" s="295">
        <f t="shared" si="0"/>
        <v>64089.993</v>
      </c>
      <c r="P18" s="252"/>
    </row>
    <row r="19" spans="1:16" ht="15">
      <c r="A19" s="580" t="s">
        <v>165</v>
      </c>
      <c r="B19" s="258" t="s">
        <v>166</v>
      </c>
      <c r="C19" s="259">
        <v>0</v>
      </c>
      <c r="D19" s="259">
        <v>0</v>
      </c>
      <c r="E19" s="259">
        <v>0</v>
      </c>
      <c r="F19" s="259">
        <v>0</v>
      </c>
      <c r="G19" s="259">
        <v>537.5</v>
      </c>
      <c r="H19" s="259">
        <v>1399</v>
      </c>
      <c r="I19" s="259">
        <v>2079.298</v>
      </c>
      <c r="J19" s="259">
        <v>4117.865</v>
      </c>
      <c r="K19" s="259">
        <v>9259.856</v>
      </c>
      <c r="L19" s="259">
        <v>456.815</v>
      </c>
      <c r="M19" s="259">
        <v>894.207</v>
      </c>
      <c r="N19" s="259">
        <v>0</v>
      </c>
      <c r="O19" s="247">
        <f t="shared" si="0"/>
        <v>18744.540999999997</v>
      </c>
      <c r="P19" s="252"/>
    </row>
    <row r="20" spans="1:16" ht="15">
      <c r="A20" s="581"/>
      <c r="B20" s="258" t="s">
        <v>167</v>
      </c>
      <c r="C20" s="259">
        <v>0</v>
      </c>
      <c r="D20" s="259">
        <v>0</v>
      </c>
      <c r="E20" s="259">
        <v>0</v>
      </c>
      <c r="F20" s="259">
        <v>0</v>
      </c>
      <c r="G20" s="259">
        <v>1018.3</v>
      </c>
      <c r="H20" s="259">
        <v>2058.9</v>
      </c>
      <c r="I20" s="259">
        <v>2080.549</v>
      </c>
      <c r="J20" s="259">
        <v>5203.654</v>
      </c>
      <c r="K20" s="259">
        <v>7086.449</v>
      </c>
      <c r="L20" s="259">
        <v>287.75</v>
      </c>
      <c r="M20" s="259">
        <v>231.719</v>
      </c>
      <c r="N20" s="259">
        <v>0</v>
      </c>
      <c r="O20" s="247">
        <f t="shared" si="0"/>
        <v>17967.321</v>
      </c>
      <c r="P20" s="252"/>
    </row>
    <row r="21" spans="1:16" ht="15">
      <c r="A21" s="581"/>
      <c r="B21" s="258" t="s">
        <v>168</v>
      </c>
      <c r="C21" s="259">
        <v>61.61</v>
      </c>
      <c r="D21" s="259">
        <v>0</v>
      </c>
      <c r="E21" s="259">
        <v>12849.84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47">
        <f t="shared" si="0"/>
        <v>12911.45</v>
      </c>
      <c r="P21" s="252"/>
    </row>
    <row r="22" spans="1:16" ht="15">
      <c r="A22" s="581"/>
      <c r="B22" s="258" t="s">
        <v>169</v>
      </c>
      <c r="C22" s="259">
        <v>0</v>
      </c>
      <c r="D22" s="259">
        <v>6852.87</v>
      </c>
      <c r="E22" s="259">
        <v>3357.87</v>
      </c>
      <c r="F22" s="259">
        <v>3363</v>
      </c>
      <c r="G22" s="259">
        <v>3581.88</v>
      </c>
      <c r="H22" s="259">
        <v>3785.71</v>
      </c>
      <c r="I22" s="259">
        <v>3628.917</v>
      </c>
      <c r="J22" s="259">
        <v>3646.05</v>
      </c>
      <c r="K22" s="259">
        <v>3508.08</v>
      </c>
      <c r="L22" s="259">
        <v>3628.38</v>
      </c>
      <c r="M22" s="259">
        <v>3079.65</v>
      </c>
      <c r="N22" s="259">
        <v>0</v>
      </c>
      <c r="O22" s="247">
        <f t="shared" si="0"/>
        <v>38432.407</v>
      </c>
      <c r="P22" s="252"/>
    </row>
    <row r="23" spans="1:16" ht="15">
      <c r="A23" s="581"/>
      <c r="B23" s="258" t="s">
        <v>170</v>
      </c>
      <c r="C23" s="259">
        <v>20.34</v>
      </c>
      <c r="D23" s="259">
        <v>214.03</v>
      </c>
      <c r="E23" s="259">
        <v>904.575</v>
      </c>
      <c r="F23" s="259">
        <v>1695.57</v>
      </c>
      <c r="G23" s="259">
        <v>119.3</v>
      </c>
      <c r="H23" s="259">
        <v>990.72</v>
      </c>
      <c r="I23" s="259">
        <v>279.17</v>
      </c>
      <c r="J23" s="259">
        <v>80.835</v>
      </c>
      <c r="K23" s="259">
        <v>250.85</v>
      </c>
      <c r="L23" s="259">
        <v>465.02</v>
      </c>
      <c r="M23" s="259">
        <v>120.6</v>
      </c>
      <c r="N23" s="259">
        <v>0</v>
      </c>
      <c r="O23" s="247">
        <f t="shared" si="0"/>
        <v>5141.010000000002</v>
      </c>
      <c r="P23" s="252"/>
    </row>
    <row r="24" spans="1:16" ht="15">
      <c r="A24" s="581"/>
      <c r="B24" s="258" t="s">
        <v>211</v>
      </c>
      <c r="C24" s="259">
        <v>0</v>
      </c>
      <c r="D24" s="259">
        <v>0</v>
      </c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47">
        <f t="shared" si="0"/>
        <v>0</v>
      </c>
      <c r="P24" s="252"/>
    </row>
    <row r="25" spans="1:16" ht="15">
      <c r="A25" s="581"/>
      <c r="B25" s="258" t="s">
        <v>242</v>
      </c>
      <c r="C25" s="259">
        <v>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47">
        <f t="shared" si="0"/>
        <v>0</v>
      </c>
      <c r="P25" s="252"/>
    </row>
    <row r="26" spans="1:16" ht="14.25" customHeight="1">
      <c r="A26" s="581"/>
      <c r="B26" s="417" t="s">
        <v>243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259">
        <v>0</v>
      </c>
      <c r="N26" s="259">
        <v>0</v>
      </c>
      <c r="O26" s="247">
        <f t="shared" si="0"/>
        <v>0</v>
      </c>
      <c r="P26" s="252"/>
    </row>
    <row r="27" spans="1:16" ht="15">
      <c r="A27" s="581"/>
      <c r="B27" s="243" t="s">
        <v>164</v>
      </c>
      <c r="C27" s="244">
        <f>SUM(C19:C26)</f>
        <v>81.95</v>
      </c>
      <c r="D27" s="244">
        <f>SUM(D19:D26)</f>
        <v>7066.9</v>
      </c>
      <c r="E27" s="244">
        <f>SUM(E19:E26)</f>
        <v>17112.285</v>
      </c>
      <c r="F27" s="244">
        <f>SUM(F19:F26)</f>
        <v>5058.57</v>
      </c>
      <c r="G27" s="244">
        <f aca="true" t="shared" si="2" ref="G27:N27">SUM(G19:G26)</f>
        <v>5256.9800000000005</v>
      </c>
      <c r="H27" s="244">
        <f t="shared" si="2"/>
        <v>8234.33</v>
      </c>
      <c r="I27" s="244">
        <f t="shared" si="2"/>
        <v>8067.933999999999</v>
      </c>
      <c r="J27" s="244">
        <f t="shared" si="2"/>
        <v>13048.403999999999</v>
      </c>
      <c r="K27" s="244">
        <f t="shared" si="2"/>
        <v>20105.235</v>
      </c>
      <c r="L27" s="244">
        <f t="shared" si="2"/>
        <v>4837.965</v>
      </c>
      <c r="M27" s="244">
        <f t="shared" si="2"/>
        <v>4326.176</v>
      </c>
      <c r="N27" s="244">
        <f t="shared" si="2"/>
        <v>0</v>
      </c>
      <c r="O27" s="295">
        <f t="shared" si="0"/>
        <v>93196.729</v>
      </c>
      <c r="P27" s="252"/>
    </row>
    <row r="28" spans="1:16" ht="15">
      <c r="A28" s="582"/>
      <c r="B28" s="240" t="s">
        <v>79</v>
      </c>
      <c r="C28" s="241">
        <f>C27+C18</f>
        <v>1395.3990000000001</v>
      </c>
      <c r="D28" s="241">
        <f>D27+D18</f>
        <v>8625.288999999999</v>
      </c>
      <c r="E28" s="241">
        <f>E27+E18</f>
        <v>18681.729</v>
      </c>
      <c r="F28" s="241">
        <f>F27+F18</f>
        <v>6617.951999999999</v>
      </c>
      <c r="G28" s="241">
        <f aca="true" t="shared" si="3" ref="G28:N28">G27+G18</f>
        <v>6819.628000000001</v>
      </c>
      <c r="H28" s="241">
        <f t="shared" si="3"/>
        <v>9815.219</v>
      </c>
      <c r="I28" s="241">
        <f t="shared" si="3"/>
        <v>9683.117999999999</v>
      </c>
      <c r="J28" s="241">
        <f t="shared" si="3"/>
        <v>14544.259999999998</v>
      </c>
      <c r="K28" s="241">
        <f t="shared" si="3"/>
        <v>29143.886</v>
      </c>
      <c r="L28" s="241">
        <f t="shared" si="3"/>
        <v>34478.603</v>
      </c>
      <c r="M28" s="241">
        <f t="shared" si="3"/>
        <v>17481.639</v>
      </c>
      <c r="N28" s="241">
        <f t="shared" si="3"/>
        <v>0</v>
      </c>
      <c r="O28" s="295">
        <f>+C28+D28+E28+F28+G28+H28+I28+J28+K28+L28+M28+N28</f>
        <v>157286.72199999998</v>
      </c>
      <c r="P28" s="252"/>
    </row>
    <row r="29" spans="1:16" ht="12.75" customHeight="1">
      <c r="A29" s="43"/>
      <c r="B29" s="262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4"/>
      <c r="O29" s="262"/>
      <c r="P29" s="252"/>
    </row>
    <row r="30" spans="1:16" ht="15">
      <c r="A30" s="43"/>
      <c r="B30" s="253" t="s">
        <v>171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4"/>
      <c r="O30" s="265"/>
      <c r="P30" s="252"/>
    </row>
    <row r="31" spans="1:16" ht="15">
      <c r="A31" s="580" t="s">
        <v>172</v>
      </c>
      <c r="B31" s="258" t="s">
        <v>156</v>
      </c>
      <c r="C31" s="259">
        <v>603.086</v>
      </c>
      <c r="D31" s="259">
        <v>607.395</v>
      </c>
      <c r="E31" s="259">
        <v>619.325</v>
      </c>
      <c r="F31" s="259">
        <v>620.171</v>
      </c>
      <c r="G31" s="259">
        <v>598.783</v>
      </c>
      <c r="H31" s="259">
        <v>611.942</v>
      </c>
      <c r="I31" s="259">
        <v>611.323</v>
      </c>
      <c r="J31" s="259">
        <v>595.805</v>
      </c>
      <c r="K31" s="259">
        <v>628.548</v>
      </c>
      <c r="L31" s="259">
        <v>636.545</v>
      </c>
      <c r="M31" s="259">
        <v>566.15</v>
      </c>
      <c r="N31" s="259">
        <v>0</v>
      </c>
      <c r="O31" s="247">
        <f aca="true" t="shared" si="4" ref="O31:O52">+C31+D31+E31+F31+G31+H31+I31+J31+K31+L31+M31+N31</f>
        <v>6699.072999999999</v>
      </c>
      <c r="P31" s="252"/>
    </row>
    <row r="32" spans="1:16" ht="15">
      <c r="A32" s="581"/>
      <c r="B32" s="258" t="s">
        <v>157</v>
      </c>
      <c r="C32" s="259">
        <v>17.1</v>
      </c>
      <c r="D32" s="259">
        <v>21.345</v>
      </c>
      <c r="E32" s="259">
        <v>22.8</v>
      </c>
      <c r="F32" s="259">
        <v>27.3</v>
      </c>
      <c r="G32" s="259">
        <v>31.5</v>
      </c>
      <c r="H32" s="259">
        <v>35.8</v>
      </c>
      <c r="I32" s="259">
        <v>37.8</v>
      </c>
      <c r="J32" s="259">
        <v>32.6</v>
      </c>
      <c r="K32" s="259">
        <v>35.3</v>
      </c>
      <c r="L32" s="259">
        <v>36</v>
      </c>
      <c r="M32" s="259">
        <v>11.8</v>
      </c>
      <c r="N32" s="259">
        <v>0</v>
      </c>
      <c r="O32" s="247">
        <f t="shared" si="4"/>
        <v>309.34499999999997</v>
      </c>
      <c r="P32" s="252"/>
    </row>
    <row r="33" spans="1:16" ht="15">
      <c r="A33" s="581"/>
      <c r="B33" s="258" t="s">
        <v>158</v>
      </c>
      <c r="C33" s="259">
        <v>0</v>
      </c>
      <c r="D33" s="259">
        <v>0</v>
      </c>
      <c r="E33" s="259">
        <v>0</v>
      </c>
      <c r="F33" s="259">
        <f>+'[1]Daily offtake'!S96</f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47">
        <f t="shared" si="4"/>
        <v>0</v>
      </c>
      <c r="P33" s="252"/>
    </row>
    <row r="34" spans="1:16" ht="15">
      <c r="A34" s="581"/>
      <c r="B34" s="258" t="s">
        <v>159</v>
      </c>
      <c r="C34" s="259">
        <v>204</v>
      </c>
      <c r="D34" s="259">
        <v>2602.179</v>
      </c>
      <c r="E34" s="259">
        <v>1960</v>
      </c>
      <c r="F34" s="259">
        <v>2338</v>
      </c>
      <c r="G34" s="259">
        <v>1859</v>
      </c>
      <c r="H34" s="259">
        <v>3860</v>
      </c>
      <c r="I34" s="259">
        <v>3685</v>
      </c>
      <c r="J34" s="259">
        <v>2906</v>
      </c>
      <c r="K34" s="259">
        <v>4389</v>
      </c>
      <c r="L34" s="259">
        <v>3760</v>
      </c>
      <c r="M34" s="259">
        <v>3070.22</v>
      </c>
      <c r="N34" s="259">
        <v>0</v>
      </c>
      <c r="O34" s="247">
        <f t="shared" si="4"/>
        <v>30633.399</v>
      </c>
      <c r="P34" s="252"/>
    </row>
    <row r="35" spans="1:16" ht="15">
      <c r="A35" s="581"/>
      <c r="B35" s="258" t="s">
        <v>160</v>
      </c>
      <c r="C35" s="259">
        <v>0</v>
      </c>
      <c r="D35" s="259">
        <v>0</v>
      </c>
      <c r="E35" s="259">
        <v>0</v>
      </c>
      <c r="F35" s="259">
        <f>+'[1]Daily offtake'!S98</f>
        <v>0</v>
      </c>
      <c r="G35" s="259">
        <v>0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47">
        <f t="shared" si="4"/>
        <v>0</v>
      </c>
      <c r="P35" s="252"/>
    </row>
    <row r="36" spans="1:16" ht="15">
      <c r="A36" s="581"/>
      <c r="B36" s="260" t="s">
        <v>161</v>
      </c>
      <c r="C36" s="259">
        <v>0</v>
      </c>
      <c r="D36" s="259">
        <v>0</v>
      </c>
      <c r="E36" s="259">
        <v>0</v>
      </c>
      <c r="F36" s="259">
        <f>+'[1]Daily offtake'!S99</f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47">
        <f t="shared" si="4"/>
        <v>0</v>
      </c>
      <c r="P36" s="252"/>
    </row>
    <row r="37" spans="1:16" ht="15">
      <c r="A37" s="581"/>
      <c r="B37" s="260" t="s">
        <v>209</v>
      </c>
      <c r="C37" s="259">
        <v>0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47">
        <f t="shared" si="4"/>
        <v>0</v>
      </c>
      <c r="P37" s="252"/>
    </row>
    <row r="38" spans="1:16" ht="15">
      <c r="A38" s="581"/>
      <c r="B38" s="260" t="s">
        <v>210</v>
      </c>
      <c r="C38" s="259">
        <v>0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47">
        <f t="shared" si="4"/>
        <v>0</v>
      </c>
      <c r="P38" s="252"/>
    </row>
    <row r="39" spans="1:16" ht="15">
      <c r="A39" s="581"/>
      <c r="B39" s="260" t="s">
        <v>215</v>
      </c>
      <c r="C39" s="259">
        <v>4.6</v>
      </c>
      <c r="D39" s="259">
        <v>4.2</v>
      </c>
      <c r="E39" s="259">
        <v>4.7</v>
      </c>
      <c r="F39" s="259">
        <v>4.4</v>
      </c>
      <c r="G39" s="259">
        <v>4.4</v>
      </c>
      <c r="H39" s="259">
        <v>4.6</v>
      </c>
      <c r="I39" s="259">
        <v>3.7</v>
      </c>
      <c r="J39" s="259">
        <v>4.4</v>
      </c>
      <c r="K39" s="259">
        <v>3.9</v>
      </c>
      <c r="L39" s="259">
        <v>4.4</v>
      </c>
      <c r="M39" s="259">
        <v>4.4</v>
      </c>
      <c r="N39" s="259">
        <v>0</v>
      </c>
      <c r="O39" s="247">
        <f t="shared" si="4"/>
        <v>47.699999999999996</v>
      </c>
      <c r="P39" s="252"/>
    </row>
    <row r="40" spans="1:16" ht="15">
      <c r="A40" s="581"/>
      <c r="B40" s="260" t="s">
        <v>162</v>
      </c>
      <c r="C40" s="259">
        <v>288</v>
      </c>
      <c r="D40" s="259">
        <v>33</v>
      </c>
      <c r="E40" s="259">
        <v>345</v>
      </c>
      <c r="F40" s="259">
        <v>345</v>
      </c>
      <c r="G40" s="259">
        <v>347</v>
      </c>
      <c r="H40" s="259">
        <v>347</v>
      </c>
      <c r="I40" s="259">
        <v>350</v>
      </c>
      <c r="J40" s="259">
        <v>350</v>
      </c>
      <c r="K40" s="259">
        <v>348</v>
      </c>
      <c r="L40" s="259">
        <v>333</v>
      </c>
      <c r="M40" s="259">
        <v>349</v>
      </c>
      <c r="N40" s="259">
        <v>0</v>
      </c>
      <c r="O40" s="247">
        <f t="shared" si="4"/>
        <v>3435</v>
      </c>
      <c r="P40" s="252"/>
    </row>
    <row r="41" spans="1:16" ht="15">
      <c r="A41" s="581"/>
      <c r="B41" s="260" t="s">
        <v>163</v>
      </c>
      <c r="C41" s="259">
        <v>0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59">
        <v>0</v>
      </c>
      <c r="K41" s="259">
        <v>0</v>
      </c>
      <c r="L41" s="259">
        <v>0</v>
      </c>
      <c r="M41" s="259">
        <v>0</v>
      </c>
      <c r="N41" s="259">
        <v>0</v>
      </c>
      <c r="O41" s="247">
        <f t="shared" si="4"/>
        <v>0</v>
      </c>
      <c r="P41" s="252"/>
    </row>
    <row r="42" spans="1:16" ht="15">
      <c r="A42" s="582"/>
      <c r="B42" s="243" t="s">
        <v>164</v>
      </c>
      <c r="C42" s="261">
        <f aca="true" t="shared" si="5" ref="C42:N42">SUM(C31:C41)</f>
        <v>1116.786</v>
      </c>
      <c r="D42" s="261">
        <f t="shared" si="5"/>
        <v>3268.1189999999997</v>
      </c>
      <c r="E42" s="261">
        <f t="shared" si="5"/>
        <v>2951.825</v>
      </c>
      <c r="F42" s="261">
        <f t="shared" si="5"/>
        <v>3334.871</v>
      </c>
      <c r="G42" s="261">
        <f t="shared" si="5"/>
        <v>2840.683</v>
      </c>
      <c r="H42" s="261">
        <f t="shared" si="5"/>
        <v>4859.342000000001</v>
      </c>
      <c r="I42" s="261">
        <f t="shared" si="5"/>
        <v>4687.822999999999</v>
      </c>
      <c r="J42" s="261">
        <f t="shared" si="5"/>
        <v>3888.805</v>
      </c>
      <c r="K42" s="261">
        <f t="shared" si="5"/>
        <v>5404.748</v>
      </c>
      <c r="L42" s="261">
        <f t="shared" si="5"/>
        <v>4769.945</v>
      </c>
      <c r="M42" s="261">
        <f t="shared" si="5"/>
        <v>4001.5699999999997</v>
      </c>
      <c r="N42" s="261">
        <f t="shared" si="5"/>
        <v>0</v>
      </c>
      <c r="O42" s="295">
        <f t="shared" si="4"/>
        <v>41124.517</v>
      </c>
      <c r="P42" s="252"/>
    </row>
    <row r="43" spans="1:16" ht="15">
      <c r="A43" s="580" t="s">
        <v>165</v>
      </c>
      <c r="B43" s="258" t="s">
        <v>179</v>
      </c>
      <c r="C43" s="259">
        <v>0</v>
      </c>
      <c r="D43" s="259">
        <v>0</v>
      </c>
      <c r="E43" s="259">
        <v>185</v>
      </c>
      <c r="F43" s="259">
        <v>251.5</v>
      </c>
      <c r="G43" s="259">
        <v>168.5</v>
      </c>
      <c r="H43" s="259">
        <v>221.858</v>
      </c>
      <c r="I43" s="259">
        <v>0</v>
      </c>
      <c r="J43" s="259">
        <v>534.202</v>
      </c>
      <c r="K43" s="259">
        <v>542.409</v>
      </c>
      <c r="L43" s="259">
        <v>100.386</v>
      </c>
      <c r="M43" s="259">
        <v>232.343</v>
      </c>
      <c r="N43" s="259">
        <v>0</v>
      </c>
      <c r="O43" s="247">
        <f t="shared" si="4"/>
        <v>2236.198</v>
      </c>
      <c r="P43" s="252"/>
    </row>
    <row r="44" spans="1:16" ht="15">
      <c r="A44" s="583"/>
      <c r="B44" s="258" t="s">
        <v>167</v>
      </c>
      <c r="C44" s="259">
        <v>0</v>
      </c>
      <c r="D44" s="259">
        <v>0</v>
      </c>
      <c r="E44" s="259">
        <v>0</v>
      </c>
      <c r="F44" s="259">
        <v>30</v>
      </c>
      <c r="G44" s="259">
        <v>115.5</v>
      </c>
      <c r="H44" s="259">
        <v>123.5</v>
      </c>
      <c r="I44" s="259">
        <v>246.317</v>
      </c>
      <c r="J44" s="259">
        <v>837.713</v>
      </c>
      <c r="K44" s="259">
        <v>1655.82</v>
      </c>
      <c r="L44" s="259">
        <v>254.147</v>
      </c>
      <c r="M44" s="259">
        <v>617.245</v>
      </c>
      <c r="N44" s="259">
        <v>0</v>
      </c>
      <c r="O44" s="247">
        <f t="shared" si="4"/>
        <v>3880.2419999999997</v>
      </c>
      <c r="P44" s="252"/>
    </row>
    <row r="45" spans="1:16" ht="15">
      <c r="A45" s="583"/>
      <c r="B45" s="258" t="s">
        <v>168</v>
      </c>
      <c r="C45" s="259">
        <v>0</v>
      </c>
      <c r="D45" s="259">
        <v>0</v>
      </c>
      <c r="E45" s="259">
        <v>0</v>
      </c>
      <c r="F45" s="259">
        <v>0</v>
      </c>
      <c r="G45" s="259">
        <v>0</v>
      </c>
      <c r="H45" s="259">
        <v>0</v>
      </c>
      <c r="I45" s="259">
        <v>0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47">
        <f t="shared" si="4"/>
        <v>0</v>
      </c>
      <c r="P45" s="252"/>
    </row>
    <row r="46" spans="1:16" ht="15">
      <c r="A46" s="583"/>
      <c r="B46" s="258" t="s">
        <v>169</v>
      </c>
      <c r="C46" s="259">
        <v>0</v>
      </c>
      <c r="D46" s="259">
        <v>0</v>
      </c>
      <c r="E46" s="259">
        <v>0</v>
      </c>
      <c r="F46" s="259">
        <v>0</v>
      </c>
      <c r="G46" s="259">
        <v>0</v>
      </c>
      <c r="H46" s="259">
        <v>0</v>
      </c>
      <c r="I46" s="259">
        <v>0</v>
      </c>
      <c r="J46" s="259">
        <v>0</v>
      </c>
      <c r="K46" s="259">
        <v>0</v>
      </c>
      <c r="L46" s="259">
        <v>0</v>
      </c>
      <c r="M46" s="259">
        <v>0</v>
      </c>
      <c r="N46" s="259">
        <v>0</v>
      </c>
      <c r="O46" s="247">
        <f t="shared" si="4"/>
        <v>0</v>
      </c>
      <c r="P46" s="252"/>
    </row>
    <row r="47" spans="1:16" ht="15">
      <c r="A47" s="583"/>
      <c r="B47" s="258" t="s">
        <v>170</v>
      </c>
      <c r="C47" s="259">
        <v>0</v>
      </c>
      <c r="D47" s="259">
        <v>0</v>
      </c>
      <c r="E47" s="259">
        <v>0</v>
      </c>
      <c r="F47" s="259">
        <f>+'[1]Daily offtake'!S107</f>
        <v>0</v>
      </c>
      <c r="G47" s="259">
        <v>0</v>
      </c>
      <c r="H47" s="259">
        <v>0</v>
      </c>
      <c r="I47" s="259">
        <v>0</v>
      </c>
      <c r="J47" s="259">
        <v>0</v>
      </c>
      <c r="K47" s="259">
        <v>0</v>
      </c>
      <c r="L47" s="259">
        <v>0</v>
      </c>
      <c r="M47" s="259">
        <v>0</v>
      </c>
      <c r="N47" s="259">
        <v>0</v>
      </c>
      <c r="O47" s="247">
        <f t="shared" si="4"/>
        <v>0</v>
      </c>
      <c r="P47" s="252"/>
    </row>
    <row r="48" spans="1:16" ht="15">
      <c r="A48" s="583"/>
      <c r="B48" s="258" t="s">
        <v>211</v>
      </c>
      <c r="C48" s="259">
        <v>0</v>
      </c>
      <c r="D48" s="259">
        <v>0</v>
      </c>
      <c r="E48" s="259">
        <v>0</v>
      </c>
      <c r="F48" s="259">
        <v>0</v>
      </c>
      <c r="G48" s="259">
        <v>0</v>
      </c>
      <c r="H48" s="259">
        <v>0</v>
      </c>
      <c r="I48" s="259">
        <v>0</v>
      </c>
      <c r="J48" s="259">
        <v>0</v>
      </c>
      <c r="K48" s="259">
        <v>0</v>
      </c>
      <c r="L48" s="259">
        <v>0</v>
      </c>
      <c r="M48" s="259">
        <v>0</v>
      </c>
      <c r="N48" s="259">
        <v>0</v>
      </c>
      <c r="O48" s="247">
        <f t="shared" si="4"/>
        <v>0</v>
      </c>
      <c r="P48" s="252"/>
    </row>
    <row r="49" spans="1:16" ht="15">
      <c r="A49" s="583"/>
      <c r="B49" s="417" t="s">
        <v>242</v>
      </c>
      <c r="C49" s="259">
        <v>0</v>
      </c>
      <c r="D49" s="259">
        <v>0</v>
      </c>
      <c r="E49" s="259">
        <v>0</v>
      </c>
      <c r="F49" s="259">
        <v>0</v>
      </c>
      <c r="G49" s="259">
        <v>0</v>
      </c>
      <c r="H49" s="259">
        <v>0</v>
      </c>
      <c r="I49" s="259">
        <v>0</v>
      </c>
      <c r="J49" s="259">
        <v>0</v>
      </c>
      <c r="K49" s="259">
        <v>0</v>
      </c>
      <c r="L49" s="259">
        <v>0</v>
      </c>
      <c r="M49" s="259">
        <v>0</v>
      </c>
      <c r="N49" s="259">
        <v>0</v>
      </c>
      <c r="O49" s="247">
        <f t="shared" si="4"/>
        <v>0</v>
      </c>
      <c r="P49" s="252"/>
    </row>
    <row r="50" spans="1:16" ht="14.25" customHeight="1">
      <c r="A50" s="583"/>
      <c r="B50" s="417" t="s">
        <v>243</v>
      </c>
      <c r="C50" s="418">
        <v>0</v>
      </c>
      <c r="D50" s="418">
        <v>0</v>
      </c>
      <c r="E50" s="418">
        <v>0</v>
      </c>
      <c r="F50" s="418">
        <v>0</v>
      </c>
      <c r="G50" s="418">
        <v>0</v>
      </c>
      <c r="H50" s="418">
        <v>0</v>
      </c>
      <c r="I50" s="418">
        <v>163.669</v>
      </c>
      <c r="J50" s="418">
        <v>152.552</v>
      </c>
      <c r="K50" s="418">
        <v>0</v>
      </c>
      <c r="L50" s="418">
        <v>0</v>
      </c>
      <c r="M50" s="418">
        <v>0</v>
      </c>
      <c r="N50" s="418">
        <v>0</v>
      </c>
      <c r="O50" s="419">
        <f t="shared" si="4"/>
        <v>316.221</v>
      </c>
      <c r="P50" s="252"/>
    </row>
    <row r="51" spans="1:16" ht="15">
      <c r="A51" s="583"/>
      <c r="B51" s="266" t="s">
        <v>164</v>
      </c>
      <c r="C51" s="267">
        <f aca="true" t="shared" si="6" ref="C51:N51">SUM(C43:C50)</f>
        <v>0</v>
      </c>
      <c r="D51" s="267">
        <f t="shared" si="6"/>
        <v>0</v>
      </c>
      <c r="E51" s="267">
        <f t="shared" si="6"/>
        <v>185</v>
      </c>
      <c r="F51" s="267">
        <f t="shared" si="6"/>
        <v>281.5</v>
      </c>
      <c r="G51" s="261">
        <f t="shared" si="6"/>
        <v>284</v>
      </c>
      <c r="H51" s="261">
        <f t="shared" si="6"/>
        <v>345.358</v>
      </c>
      <c r="I51" s="261">
        <f t="shared" si="6"/>
        <v>409.986</v>
      </c>
      <c r="J51" s="261">
        <f t="shared" si="6"/>
        <v>1524.4669999999999</v>
      </c>
      <c r="K51" s="261">
        <f t="shared" si="6"/>
        <v>2198.229</v>
      </c>
      <c r="L51" s="261">
        <f t="shared" si="6"/>
        <v>354.533</v>
      </c>
      <c r="M51" s="261">
        <f t="shared" si="6"/>
        <v>849.588</v>
      </c>
      <c r="N51" s="261">
        <f t="shared" si="6"/>
        <v>0</v>
      </c>
      <c r="O51" s="295">
        <f t="shared" si="4"/>
        <v>6432.660999999999</v>
      </c>
      <c r="P51" s="252"/>
    </row>
    <row r="52" spans="1:16" ht="15">
      <c r="A52" s="584"/>
      <c r="B52" s="245" t="s">
        <v>79</v>
      </c>
      <c r="C52" s="246">
        <f>C51+C42</f>
        <v>1116.786</v>
      </c>
      <c r="D52" s="246">
        <f>D51+D42</f>
        <v>3268.1189999999997</v>
      </c>
      <c r="E52" s="246">
        <f>E51+E42</f>
        <v>3136.825</v>
      </c>
      <c r="F52" s="246">
        <f>F51+F42</f>
        <v>3616.371</v>
      </c>
      <c r="G52" s="246">
        <f aca="true" t="shared" si="7" ref="G52:M52">G51+G42</f>
        <v>3124.683</v>
      </c>
      <c r="H52" s="246">
        <f t="shared" si="7"/>
        <v>5204.700000000001</v>
      </c>
      <c r="I52" s="246">
        <f t="shared" si="7"/>
        <v>5097.808999999999</v>
      </c>
      <c r="J52" s="246">
        <f t="shared" si="7"/>
        <v>5413.272</v>
      </c>
      <c r="K52" s="246">
        <f t="shared" si="7"/>
        <v>7602.976999999999</v>
      </c>
      <c r="L52" s="246">
        <f t="shared" si="7"/>
        <v>5124.478</v>
      </c>
      <c r="M52" s="246">
        <f t="shared" si="7"/>
        <v>4851.157999999999</v>
      </c>
      <c r="N52" s="246">
        <f>N51+N42</f>
        <v>0</v>
      </c>
      <c r="O52" s="295">
        <f t="shared" si="4"/>
        <v>47557.178</v>
      </c>
      <c r="P52" s="252"/>
    </row>
    <row r="53" spans="1:16" ht="12.75" customHeight="1">
      <c r="A53" s="251"/>
      <c r="B53" s="268"/>
      <c r="C53" s="269"/>
      <c r="D53" s="269"/>
      <c r="E53" s="269"/>
      <c r="F53" s="269"/>
      <c r="G53" s="270"/>
      <c r="H53" s="270"/>
      <c r="I53" s="270"/>
      <c r="J53" s="270"/>
      <c r="K53" s="270"/>
      <c r="L53" s="270"/>
      <c r="M53" s="270"/>
      <c r="N53" s="271"/>
      <c r="O53" s="272"/>
      <c r="P53" s="252"/>
    </row>
    <row r="54" spans="1:16" ht="15">
      <c r="A54" s="251"/>
      <c r="B54" s="296" t="s">
        <v>173</v>
      </c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4"/>
      <c r="O54" s="262"/>
      <c r="P54" s="252"/>
    </row>
    <row r="55" spans="1:16" ht="15">
      <c r="A55" s="251"/>
      <c r="B55" s="297" t="s">
        <v>166</v>
      </c>
      <c r="C55" s="273">
        <v>0</v>
      </c>
      <c r="D55" s="273">
        <v>0</v>
      </c>
      <c r="E55" s="273">
        <v>0</v>
      </c>
      <c r="F55" s="273">
        <v>0</v>
      </c>
      <c r="G55" s="274">
        <v>0</v>
      </c>
      <c r="H55" s="274">
        <v>0</v>
      </c>
      <c r="I55" s="273">
        <v>0</v>
      </c>
      <c r="J55" s="273">
        <v>0</v>
      </c>
      <c r="K55" s="273">
        <v>0</v>
      </c>
      <c r="L55" s="274">
        <v>0</v>
      </c>
      <c r="M55" s="274">
        <v>0</v>
      </c>
      <c r="N55" s="273">
        <v>0</v>
      </c>
      <c r="O55" s="247">
        <f>+C55+D55+E55+F55+G55+H55+I55+J55+K55+L55+M55+N55</f>
        <v>0</v>
      </c>
      <c r="P55" s="252"/>
    </row>
    <row r="56" spans="1:16" ht="15">
      <c r="A56" s="43"/>
      <c r="B56" s="297" t="s">
        <v>170</v>
      </c>
      <c r="C56" s="273">
        <v>0</v>
      </c>
      <c r="D56" s="273">
        <v>0</v>
      </c>
      <c r="E56" s="273">
        <v>0</v>
      </c>
      <c r="F56" s="273">
        <v>0</v>
      </c>
      <c r="G56" s="274">
        <v>0</v>
      </c>
      <c r="H56" s="274">
        <v>0</v>
      </c>
      <c r="I56" s="273">
        <v>0</v>
      </c>
      <c r="J56" s="273">
        <v>0</v>
      </c>
      <c r="K56" s="273">
        <v>0</v>
      </c>
      <c r="L56" s="274">
        <v>0</v>
      </c>
      <c r="M56" s="274">
        <v>0</v>
      </c>
      <c r="N56" s="273">
        <v>0</v>
      </c>
      <c r="O56" s="247">
        <f>+C56+D56+E56+F56+G56+H56+I56+J56+K56+L56+M56+N56</f>
        <v>0</v>
      </c>
      <c r="P56" s="252"/>
    </row>
    <row r="57" spans="1:16" ht="15">
      <c r="A57" s="43"/>
      <c r="B57" s="297" t="s">
        <v>167</v>
      </c>
      <c r="C57" s="273">
        <v>0</v>
      </c>
      <c r="D57" s="273">
        <v>0</v>
      </c>
      <c r="E57" s="273">
        <v>0</v>
      </c>
      <c r="F57" s="273">
        <v>0</v>
      </c>
      <c r="G57" s="274">
        <v>0</v>
      </c>
      <c r="H57" s="274">
        <v>0</v>
      </c>
      <c r="I57" s="273">
        <v>0</v>
      </c>
      <c r="J57" s="273">
        <v>0</v>
      </c>
      <c r="K57" s="273">
        <v>0</v>
      </c>
      <c r="L57" s="274">
        <v>0</v>
      </c>
      <c r="M57" s="274">
        <v>0</v>
      </c>
      <c r="N57" s="273">
        <v>0</v>
      </c>
      <c r="O57" s="247">
        <f>+C57+D57+E57+F57+G57+H57+I57+J57+K57+L57+M57+N57</f>
        <v>0</v>
      </c>
      <c r="P57" s="252"/>
    </row>
    <row r="58" spans="1:16" ht="15">
      <c r="A58" s="43"/>
      <c r="B58" s="298" t="s">
        <v>163</v>
      </c>
      <c r="C58" s="275">
        <v>0</v>
      </c>
      <c r="D58" s="275">
        <v>0</v>
      </c>
      <c r="E58" s="275">
        <v>0</v>
      </c>
      <c r="F58" s="275">
        <v>0</v>
      </c>
      <c r="G58" s="276">
        <v>0</v>
      </c>
      <c r="H58" s="276">
        <v>0</v>
      </c>
      <c r="I58" s="275">
        <v>0</v>
      </c>
      <c r="J58" s="275">
        <v>0</v>
      </c>
      <c r="K58" s="275">
        <v>0</v>
      </c>
      <c r="L58" s="276">
        <v>0</v>
      </c>
      <c r="M58" s="276">
        <v>0</v>
      </c>
      <c r="N58" s="275">
        <v>0</v>
      </c>
      <c r="O58" s="247">
        <f>+C58+D58+E58+F58+G58+H58+I58+J58+K58+L58+M58+N58</f>
        <v>0</v>
      </c>
      <c r="P58" s="252"/>
    </row>
    <row r="59" spans="1:16" ht="15">
      <c r="A59" s="43"/>
      <c r="B59" s="245" t="s">
        <v>79</v>
      </c>
      <c r="C59" s="246">
        <f>SUM(C56:C57)</f>
        <v>0</v>
      </c>
      <c r="D59" s="246">
        <v>0</v>
      </c>
      <c r="E59" s="246">
        <v>0</v>
      </c>
      <c r="F59" s="246"/>
      <c r="G59" s="246">
        <v>0</v>
      </c>
      <c r="H59" s="246">
        <v>0</v>
      </c>
      <c r="I59" s="246">
        <f>SUM(I56:I57)</f>
        <v>0</v>
      </c>
      <c r="J59" s="246">
        <v>0</v>
      </c>
      <c r="K59" s="246">
        <v>0</v>
      </c>
      <c r="L59" s="246">
        <v>0</v>
      </c>
      <c r="M59" s="246"/>
      <c r="N59" s="246">
        <f>SUM(N56:N57)</f>
        <v>0</v>
      </c>
      <c r="O59" s="295">
        <f>+C59+D59+E59+F59+G59+H59+I59+J59+K59+L59+M59+N59</f>
        <v>0</v>
      </c>
      <c r="P59" s="252"/>
    </row>
    <row r="60" spans="1:16" ht="15">
      <c r="A60" s="43"/>
      <c r="B60" s="587" t="s">
        <v>241</v>
      </c>
      <c r="C60" s="587"/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252"/>
    </row>
    <row r="61" spans="1:16" ht="7.5" customHeight="1">
      <c r="A61" s="43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52"/>
    </row>
    <row r="62" spans="1:16" ht="15">
      <c r="A62" s="43"/>
      <c r="B62" s="254" t="s">
        <v>153</v>
      </c>
      <c r="C62" s="291" t="s">
        <v>251</v>
      </c>
      <c r="D62" s="291" t="s">
        <v>252</v>
      </c>
      <c r="E62" s="291" t="s">
        <v>253</v>
      </c>
      <c r="F62" s="291" t="s">
        <v>254</v>
      </c>
      <c r="G62" s="292" t="s">
        <v>255</v>
      </c>
      <c r="H62" s="292" t="s">
        <v>256</v>
      </c>
      <c r="I62" s="292" t="s">
        <v>257</v>
      </c>
      <c r="J62" s="292" t="s">
        <v>258</v>
      </c>
      <c r="K62" s="292" t="s">
        <v>259</v>
      </c>
      <c r="L62" s="292" t="s">
        <v>260</v>
      </c>
      <c r="M62" s="278" t="s">
        <v>261</v>
      </c>
      <c r="N62" s="293" t="s">
        <v>262</v>
      </c>
      <c r="O62" s="360" t="s">
        <v>129</v>
      </c>
      <c r="P62" s="252"/>
    </row>
    <row r="63" spans="1:16" ht="15">
      <c r="A63" s="43"/>
      <c r="B63" s="254"/>
      <c r="C63" s="257" t="s">
        <v>155</v>
      </c>
      <c r="D63" s="257" t="s">
        <v>155</v>
      </c>
      <c r="E63" s="257" t="s">
        <v>155</v>
      </c>
      <c r="F63" s="257" t="s">
        <v>155</v>
      </c>
      <c r="G63" s="257" t="s">
        <v>155</v>
      </c>
      <c r="H63" s="257" t="s">
        <v>155</v>
      </c>
      <c r="I63" s="257" t="s">
        <v>155</v>
      </c>
      <c r="J63" s="257" t="s">
        <v>155</v>
      </c>
      <c r="K63" s="257" t="s">
        <v>155</v>
      </c>
      <c r="L63" s="257" t="s">
        <v>155</v>
      </c>
      <c r="M63" s="257" t="s">
        <v>155</v>
      </c>
      <c r="N63" s="257" t="s">
        <v>155</v>
      </c>
      <c r="O63" s="256" t="s">
        <v>155</v>
      </c>
      <c r="P63" s="252"/>
    </row>
    <row r="64" spans="1:16" ht="15">
      <c r="A64" s="580" t="s">
        <v>172</v>
      </c>
      <c r="B64" s="258" t="s">
        <v>156</v>
      </c>
      <c r="C64" s="255">
        <f aca="true" t="shared" si="8" ref="C64:D74">+C31+C7</f>
        <v>1402.635</v>
      </c>
      <c r="D64" s="255">
        <f t="shared" si="8"/>
        <v>1413.242</v>
      </c>
      <c r="E64" s="255">
        <f aca="true" t="shared" si="9" ref="E64:E74">+E7+E31</f>
        <v>1449.4560000000001</v>
      </c>
      <c r="F64" s="255">
        <f aca="true" t="shared" si="10" ref="F64:N64">+F31+F7</f>
        <v>1539.153</v>
      </c>
      <c r="G64" s="255">
        <f t="shared" si="10"/>
        <v>1406.531</v>
      </c>
      <c r="H64" s="255">
        <f t="shared" si="10"/>
        <v>1424.6309999999999</v>
      </c>
      <c r="I64" s="255">
        <f t="shared" si="10"/>
        <v>1445.307</v>
      </c>
      <c r="J64" s="255">
        <f t="shared" si="10"/>
        <v>1425.261</v>
      </c>
      <c r="K64" s="255">
        <f t="shared" si="10"/>
        <v>1467.6190000000001</v>
      </c>
      <c r="L64" s="255">
        <f t="shared" si="10"/>
        <v>1480.333</v>
      </c>
      <c r="M64" s="255">
        <f t="shared" si="10"/>
        <v>1272.628</v>
      </c>
      <c r="N64" s="255">
        <f t="shared" si="10"/>
        <v>0</v>
      </c>
      <c r="O64" s="255">
        <f aca="true" t="shared" si="11" ref="O64:O74">+O7+O31</f>
        <v>15726.795999999998</v>
      </c>
      <c r="P64" s="252"/>
    </row>
    <row r="65" spans="1:16" ht="15">
      <c r="A65" s="581"/>
      <c r="B65" s="258" t="s">
        <v>157</v>
      </c>
      <c r="C65" s="255">
        <f t="shared" si="8"/>
        <v>116.5</v>
      </c>
      <c r="D65" s="255">
        <f t="shared" si="8"/>
        <v>191.88</v>
      </c>
      <c r="E65" s="255">
        <f t="shared" si="9"/>
        <v>245.013</v>
      </c>
      <c r="F65" s="255">
        <f aca="true" t="shared" si="12" ref="F65:N65">+F32+F8</f>
        <v>187.70000000000002</v>
      </c>
      <c r="G65" s="255">
        <f t="shared" si="12"/>
        <v>204.4</v>
      </c>
      <c r="H65" s="255">
        <f t="shared" si="12"/>
        <v>221.7</v>
      </c>
      <c r="I65" s="255">
        <f t="shared" si="12"/>
        <v>227.2</v>
      </c>
      <c r="J65" s="255">
        <f t="shared" si="12"/>
        <v>210.5</v>
      </c>
      <c r="K65" s="255">
        <f t="shared" si="12"/>
        <v>218.8</v>
      </c>
      <c r="L65" s="255">
        <f t="shared" si="12"/>
        <v>225.6</v>
      </c>
      <c r="M65" s="255">
        <f t="shared" si="12"/>
        <v>68.765</v>
      </c>
      <c r="N65" s="255">
        <f t="shared" si="12"/>
        <v>0</v>
      </c>
      <c r="O65" s="255">
        <f t="shared" si="11"/>
        <v>2118.058</v>
      </c>
      <c r="P65" s="252"/>
    </row>
    <row r="66" spans="1:16" ht="15">
      <c r="A66" s="581"/>
      <c r="B66" s="258" t="s">
        <v>158</v>
      </c>
      <c r="C66" s="255">
        <f t="shared" si="8"/>
        <v>0</v>
      </c>
      <c r="D66" s="255">
        <f t="shared" si="8"/>
        <v>0</v>
      </c>
      <c r="E66" s="255">
        <f t="shared" si="9"/>
        <v>0</v>
      </c>
      <c r="F66" s="255">
        <f aca="true" t="shared" si="13" ref="F66:N66">+F33+F9</f>
        <v>0</v>
      </c>
      <c r="G66" s="255">
        <f t="shared" si="13"/>
        <v>0</v>
      </c>
      <c r="H66" s="255">
        <f t="shared" si="13"/>
        <v>0</v>
      </c>
      <c r="I66" s="255">
        <f t="shared" si="13"/>
        <v>0</v>
      </c>
      <c r="J66" s="255">
        <f t="shared" si="13"/>
        <v>0</v>
      </c>
      <c r="K66" s="255">
        <f t="shared" si="13"/>
        <v>0</v>
      </c>
      <c r="L66" s="255">
        <f t="shared" si="13"/>
        <v>0</v>
      </c>
      <c r="M66" s="255">
        <f t="shared" si="13"/>
        <v>0</v>
      </c>
      <c r="N66" s="255">
        <f t="shared" si="13"/>
        <v>0</v>
      </c>
      <c r="O66" s="255">
        <f t="shared" si="11"/>
        <v>0</v>
      </c>
      <c r="P66" s="252"/>
    </row>
    <row r="67" spans="1:16" ht="15">
      <c r="A67" s="581"/>
      <c r="B67" s="258" t="s">
        <v>159</v>
      </c>
      <c r="C67" s="255">
        <f t="shared" si="8"/>
        <v>204</v>
      </c>
      <c r="D67" s="255">
        <f t="shared" si="8"/>
        <v>2602.179</v>
      </c>
      <c r="E67" s="255">
        <f t="shared" si="9"/>
        <v>1960</v>
      </c>
      <c r="F67" s="255">
        <f aca="true" t="shared" si="14" ref="F67:N67">+F34+F10</f>
        <v>2338</v>
      </c>
      <c r="G67" s="255">
        <f t="shared" si="14"/>
        <v>1859</v>
      </c>
      <c r="H67" s="255">
        <f t="shared" si="14"/>
        <v>3860</v>
      </c>
      <c r="I67" s="255">
        <f t="shared" si="14"/>
        <v>3685</v>
      </c>
      <c r="J67" s="255">
        <f t="shared" si="14"/>
        <v>2906</v>
      </c>
      <c r="K67" s="255">
        <f t="shared" si="14"/>
        <v>11768.25</v>
      </c>
      <c r="L67" s="255">
        <f t="shared" si="14"/>
        <v>31720.55</v>
      </c>
      <c r="M67" s="255">
        <f t="shared" si="14"/>
        <v>14988.72</v>
      </c>
      <c r="N67" s="255">
        <f t="shared" si="14"/>
        <v>0</v>
      </c>
      <c r="O67" s="255">
        <f t="shared" si="11"/>
        <v>77891.69900000001</v>
      </c>
      <c r="P67" s="252"/>
    </row>
    <row r="68" spans="1:16" ht="15">
      <c r="A68" s="581"/>
      <c r="B68" s="258" t="s">
        <v>160</v>
      </c>
      <c r="C68" s="255">
        <f t="shared" si="8"/>
        <v>0</v>
      </c>
      <c r="D68" s="255">
        <f t="shared" si="8"/>
        <v>0</v>
      </c>
      <c r="E68" s="255">
        <f t="shared" si="9"/>
        <v>0</v>
      </c>
      <c r="F68" s="255">
        <f aca="true" t="shared" si="15" ref="F68:N68">+F35+F11</f>
        <v>0</v>
      </c>
      <c r="G68" s="255">
        <f t="shared" si="15"/>
        <v>0</v>
      </c>
      <c r="H68" s="255">
        <f t="shared" si="15"/>
        <v>0</v>
      </c>
      <c r="I68" s="255">
        <f t="shared" si="15"/>
        <v>0</v>
      </c>
      <c r="J68" s="255">
        <f t="shared" si="15"/>
        <v>0</v>
      </c>
      <c r="K68" s="255">
        <f t="shared" si="15"/>
        <v>0</v>
      </c>
      <c r="L68" s="255">
        <f t="shared" si="15"/>
        <v>0</v>
      </c>
      <c r="M68" s="255">
        <f t="shared" si="15"/>
        <v>0</v>
      </c>
      <c r="N68" s="255">
        <f t="shared" si="15"/>
        <v>0</v>
      </c>
      <c r="O68" s="255">
        <f t="shared" si="11"/>
        <v>0</v>
      </c>
      <c r="P68" s="252"/>
    </row>
    <row r="69" spans="1:16" ht="15">
      <c r="A69" s="581"/>
      <c r="B69" s="260" t="s">
        <v>161</v>
      </c>
      <c r="C69" s="255">
        <f t="shared" si="8"/>
        <v>0</v>
      </c>
      <c r="D69" s="255">
        <f t="shared" si="8"/>
        <v>0</v>
      </c>
      <c r="E69" s="255">
        <f t="shared" si="9"/>
        <v>0</v>
      </c>
      <c r="F69" s="255">
        <f aca="true" t="shared" si="16" ref="F69:N69">+F36+F12</f>
        <v>0</v>
      </c>
      <c r="G69" s="255">
        <f t="shared" si="16"/>
        <v>0</v>
      </c>
      <c r="H69" s="255">
        <f t="shared" si="16"/>
        <v>0</v>
      </c>
      <c r="I69" s="255">
        <f t="shared" si="16"/>
        <v>0</v>
      </c>
      <c r="J69" s="255">
        <f t="shared" si="16"/>
        <v>0</v>
      </c>
      <c r="K69" s="255">
        <f t="shared" si="16"/>
        <v>0</v>
      </c>
      <c r="L69" s="255">
        <f t="shared" si="16"/>
        <v>0</v>
      </c>
      <c r="M69" s="255">
        <f t="shared" si="16"/>
        <v>0</v>
      </c>
      <c r="N69" s="255">
        <f t="shared" si="16"/>
        <v>0</v>
      </c>
      <c r="O69" s="255">
        <f t="shared" si="11"/>
        <v>0</v>
      </c>
      <c r="P69" s="252"/>
    </row>
    <row r="70" spans="1:16" ht="15">
      <c r="A70" s="581"/>
      <c r="B70" s="260" t="s">
        <v>209</v>
      </c>
      <c r="C70" s="255">
        <f t="shared" si="8"/>
        <v>0</v>
      </c>
      <c r="D70" s="255">
        <f t="shared" si="8"/>
        <v>0</v>
      </c>
      <c r="E70" s="255">
        <f t="shared" si="9"/>
        <v>0</v>
      </c>
      <c r="F70" s="255">
        <f aca="true" t="shared" si="17" ref="F70:N70">+F37+F13</f>
        <v>0</v>
      </c>
      <c r="G70" s="255">
        <f t="shared" si="17"/>
        <v>0</v>
      </c>
      <c r="H70" s="255">
        <f t="shared" si="17"/>
        <v>0</v>
      </c>
      <c r="I70" s="255">
        <f t="shared" si="17"/>
        <v>0</v>
      </c>
      <c r="J70" s="255">
        <f t="shared" si="17"/>
        <v>0</v>
      </c>
      <c r="K70" s="255">
        <f t="shared" si="17"/>
        <v>0</v>
      </c>
      <c r="L70" s="255">
        <f t="shared" si="17"/>
        <v>0</v>
      </c>
      <c r="M70" s="255">
        <f t="shared" si="17"/>
        <v>0</v>
      </c>
      <c r="N70" s="255">
        <f t="shared" si="17"/>
        <v>0</v>
      </c>
      <c r="O70" s="255">
        <f t="shared" si="11"/>
        <v>0</v>
      </c>
      <c r="P70" s="252"/>
    </row>
    <row r="71" spans="1:16" ht="15">
      <c r="A71" s="581"/>
      <c r="B71" s="260" t="s">
        <v>210</v>
      </c>
      <c r="C71" s="255">
        <f t="shared" si="8"/>
        <v>0</v>
      </c>
      <c r="D71" s="255">
        <f t="shared" si="8"/>
        <v>0</v>
      </c>
      <c r="E71" s="255">
        <f t="shared" si="9"/>
        <v>0</v>
      </c>
      <c r="F71" s="255">
        <f aca="true" t="shared" si="18" ref="F71:N71">+F38+F14</f>
        <v>0</v>
      </c>
      <c r="G71" s="255">
        <f t="shared" si="18"/>
        <v>0</v>
      </c>
      <c r="H71" s="255">
        <f t="shared" si="18"/>
        <v>0</v>
      </c>
      <c r="I71" s="255">
        <f t="shared" si="18"/>
        <v>0</v>
      </c>
      <c r="J71" s="255">
        <f t="shared" si="18"/>
        <v>0</v>
      </c>
      <c r="K71" s="255">
        <f t="shared" si="18"/>
        <v>96.83</v>
      </c>
      <c r="L71" s="255">
        <f t="shared" si="18"/>
        <v>44</v>
      </c>
      <c r="M71" s="255">
        <f t="shared" si="18"/>
        <v>84.62</v>
      </c>
      <c r="N71" s="255">
        <f t="shared" si="18"/>
        <v>0</v>
      </c>
      <c r="O71" s="255">
        <f t="shared" si="11"/>
        <v>225.45</v>
      </c>
      <c r="P71" s="252"/>
    </row>
    <row r="72" spans="1:16" ht="15">
      <c r="A72" s="581"/>
      <c r="B72" s="260" t="s">
        <v>215</v>
      </c>
      <c r="C72" s="255">
        <f t="shared" si="8"/>
        <v>9.1</v>
      </c>
      <c r="D72" s="255">
        <f t="shared" si="8"/>
        <v>9.207</v>
      </c>
      <c r="E72" s="255">
        <f t="shared" si="9"/>
        <v>9.8</v>
      </c>
      <c r="F72" s="255">
        <f aca="true" t="shared" si="19" ref="F72:N72">+F39+F15</f>
        <v>9.4</v>
      </c>
      <c r="G72" s="255">
        <f t="shared" si="19"/>
        <v>9.4</v>
      </c>
      <c r="H72" s="255">
        <f t="shared" si="19"/>
        <v>9.899999999999999</v>
      </c>
      <c r="I72" s="255">
        <f t="shared" si="19"/>
        <v>8.5</v>
      </c>
      <c r="J72" s="255">
        <f t="shared" si="19"/>
        <v>7.9</v>
      </c>
      <c r="K72" s="255">
        <f t="shared" si="19"/>
        <v>8.9</v>
      </c>
      <c r="L72" s="255">
        <f t="shared" si="19"/>
        <v>20.1</v>
      </c>
      <c r="M72" s="255">
        <f t="shared" si="19"/>
        <v>9.3</v>
      </c>
      <c r="N72" s="255">
        <f t="shared" si="19"/>
        <v>0</v>
      </c>
      <c r="O72" s="255">
        <f t="shared" si="11"/>
        <v>111.50699999999999</v>
      </c>
      <c r="P72" s="252"/>
    </row>
    <row r="73" spans="1:16" ht="15">
      <c r="A73" s="581"/>
      <c r="B73" s="260" t="s">
        <v>162</v>
      </c>
      <c r="C73" s="255">
        <f t="shared" si="8"/>
        <v>698</v>
      </c>
      <c r="D73" s="255">
        <f t="shared" si="8"/>
        <v>610</v>
      </c>
      <c r="E73" s="255">
        <f t="shared" si="9"/>
        <v>857</v>
      </c>
      <c r="F73" s="255">
        <f>+F16+F40</f>
        <v>820</v>
      </c>
      <c r="G73" s="255">
        <f>+G16+G40</f>
        <v>924</v>
      </c>
      <c r="H73" s="255">
        <f aca="true" t="shared" si="20" ref="H73:M73">+H40+H16</f>
        <v>924</v>
      </c>
      <c r="I73" s="255">
        <f t="shared" si="20"/>
        <v>937</v>
      </c>
      <c r="J73" s="255">
        <f t="shared" si="20"/>
        <v>835</v>
      </c>
      <c r="K73" s="255">
        <f t="shared" si="20"/>
        <v>883</v>
      </c>
      <c r="L73" s="255">
        <f t="shared" si="20"/>
        <v>920</v>
      </c>
      <c r="M73" s="255">
        <f t="shared" si="20"/>
        <v>733</v>
      </c>
      <c r="N73" s="255">
        <f>+N16+N40</f>
        <v>0</v>
      </c>
      <c r="O73" s="255">
        <f t="shared" si="11"/>
        <v>9141</v>
      </c>
      <c r="P73" s="252"/>
    </row>
    <row r="74" spans="1:16" ht="15">
      <c r="A74" s="581"/>
      <c r="B74" s="258" t="s">
        <v>163</v>
      </c>
      <c r="C74" s="255">
        <f t="shared" si="8"/>
        <v>0</v>
      </c>
      <c r="D74" s="255">
        <f t="shared" si="8"/>
        <v>0</v>
      </c>
      <c r="E74" s="255">
        <f t="shared" si="9"/>
        <v>0</v>
      </c>
      <c r="F74" s="255">
        <f>+F41+F17</f>
        <v>0</v>
      </c>
      <c r="G74" s="255">
        <f>+G41+G17</f>
        <v>0</v>
      </c>
      <c r="H74" s="255">
        <v>0</v>
      </c>
      <c r="I74" s="255">
        <v>0</v>
      </c>
      <c r="J74" s="255">
        <v>0</v>
      </c>
      <c r="K74" s="255">
        <v>0</v>
      </c>
      <c r="L74" s="255">
        <v>0</v>
      </c>
      <c r="M74" s="255">
        <v>0</v>
      </c>
      <c r="N74" s="255">
        <f>+N41+N17</f>
        <v>0</v>
      </c>
      <c r="O74" s="255">
        <f t="shared" si="11"/>
        <v>0</v>
      </c>
      <c r="P74" s="252"/>
    </row>
    <row r="75" spans="1:16" ht="15">
      <c r="A75" s="584"/>
      <c r="B75" s="277" t="s">
        <v>164</v>
      </c>
      <c r="C75" s="278">
        <f>SUM(C64:C74)</f>
        <v>2430.2349999999997</v>
      </c>
      <c r="D75" s="278">
        <f>SUM(D64:D74)</f>
        <v>4826.508</v>
      </c>
      <c r="E75" s="278">
        <f>SUM(E64:E74)</f>
        <v>4521.269</v>
      </c>
      <c r="F75" s="278">
        <f>SUM(F64:F74)</f>
        <v>4894.253000000001</v>
      </c>
      <c r="G75" s="278">
        <f aca="true" t="shared" si="21" ref="G75:O75">SUM(G64:G74)</f>
        <v>4403.331</v>
      </c>
      <c r="H75" s="278">
        <f t="shared" si="21"/>
        <v>6440.231</v>
      </c>
      <c r="I75" s="278">
        <f t="shared" si="21"/>
        <v>6303.007</v>
      </c>
      <c r="J75" s="278">
        <f t="shared" si="21"/>
        <v>5384.661</v>
      </c>
      <c r="K75" s="278">
        <f t="shared" si="21"/>
        <v>14443.399</v>
      </c>
      <c r="L75" s="278">
        <f t="shared" si="21"/>
        <v>34410.583</v>
      </c>
      <c r="M75" s="278">
        <f t="shared" si="21"/>
        <v>17157.033</v>
      </c>
      <c r="N75" s="278">
        <f t="shared" si="21"/>
        <v>0</v>
      </c>
      <c r="O75" s="278">
        <f t="shared" si="21"/>
        <v>105214.51000000001</v>
      </c>
      <c r="P75" s="252"/>
    </row>
    <row r="76" spans="1:16" ht="15">
      <c r="A76" s="580" t="s">
        <v>165</v>
      </c>
      <c r="B76" s="258" t="s">
        <v>166</v>
      </c>
      <c r="C76" s="255">
        <f>+C44+C19</f>
        <v>0</v>
      </c>
      <c r="D76" s="255">
        <f>+D44+D19</f>
        <v>0</v>
      </c>
      <c r="E76" s="255">
        <f aca="true" t="shared" si="22" ref="E76:E81">+E19+E43</f>
        <v>185</v>
      </c>
      <c r="F76" s="255">
        <f aca="true" t="shared" si="23" ref="F76:N76">+F43+F19</f>
        <v>251.5</v>
      </c>
      <c r="G76" s="255">
        <f t="shared" si="23"/>
        <v>706</v>
      </c>
      <c r="H76" s="255">
        <f t="shared" si="23"/>
        <v>1620.858</v>
      </c>
      <c r="I76" s="255">
        <f t="shared" si="23"/>
        <v>2079.298</v>
      </c>
      <c r="J76" s="255">
        <f t="shared" si="23"/>
        <v>4652.067</v>
      </c>
      <c r="K76" s="255">
        <f t="shared" si="23"/>
        <v>9802.265</v>
      </c>
      <c r="L76" s="255">
        <f t="shared" si="23"/>
        <v>557.201</v>
      </c>
      <c r="M76" s="255">
        <f t="shared" si="23"/>
        <v>1126.55</v>
      </c>
      <c r="N76" s="255">
        <f t="shared" si="23"/>
        <v>0</v>
      </c>
      <c r="O76" s="255">
        <f>+O19+O43+O55</f>
        <v>20980.738999999998</v>
      </c>
      <c r="P76" s="252"/>
    </row>
    <row r="77" spans="1:16" ht="15">
      <c r="A77" s="581"/>
      <c r="B77" s="258" t="s">
        <v>167</v>
      </c>
      <c r="C77" s="255">
        <f>+C45+C20</f>
        <v>0</v>
      </c>
      <c r="D77" s="255">
        <f>+D45+D20</f>
        <v>0</v>
      </c>
      <c r="E77" s="255">
        <f t="shared" si="22"/>
        <v>0</v>
      </c>
      <c r="F77" s="255">
        <f>+F20+F44+F57</f>
        <v>30</v>
      </c>
      <c r="G77" s="255">
        <f>+G20+G44+G57</f>
        <v>1133.8</v>
      </c>
      <c r="H77" s="255">
        <f aca="true" t="shared" si="24" ref="H77:M81">+H44+H20</f>
        <v>2182.4</v>
      </c>
      <c r="I77" s="255">
        <f t="shared" si="24"/>
        <v>2326.866</v>
      </c>
      <c r="J77" s="255">
        <f t="shared" si="24"/>
        <v>6041.367</v>
      </c>
      <c r="K77" s="255">
        <f t="shared" si="24"/>
        <v>8742.269</v>
      </c>
      <c r="L77" s="255">
        <f t="shared" si="24"/>
        <v>541.8969999999999</v>
      </c>
      <c r="M77" s="255">
        <f t="shared" si="24"/>
        <v>848.9639999999999</v>
      </c>
      <c r="N77" s="255">
        <f>+N20+N44+N57</f>
        <v>0</v>
      </c>
      <c r="O77" s="255">
        <f>+O20+O44+O57</f>
        <v>21847.563</v>
      </c>
      <c r="P77" s="252"/>
    </row>
    <row r="78" spans="1:16" ht="15">
      <c r="A78" s="581"/>
      <c r="B78" s="258" t="s">
        <v>168</v>
      </c>
      <c r="C78" s="255">
        <f aca="true" t="shared" si="25" ref="C78:D81">+C45+C21</f>
        <v>61.61</v>
      </c>
      <c r="D78" s="255">
        <f t="shared" si="25"/>
        <v>0</v>
      </c>
      <c r="E78" s="255">
        <f t="shared" si="22"/>
        <v>12849.84</v>
      </c>
      <c r="F78" s="255">
        <f>+F45+F21</f>
        <v>0</v>
      </c>
      <c r="G78" s="255">
        <f>+G45+G21</f>
        <v>0</v>
      </c>
      <c r="H78" s="255">
        <f t="shared" si="24"/>
        <v>0</v>
      </c>
      <c r="I78" s="255">
        <f t="shared" si="24"/>
        <v>0</v>
      </c>
      <c r="J78" s="255">
        <f t="shared" si="24"/>
        <v>0</v>
      </c>
      <c r="K78" s="255">
        <f t="shared" si="24"/>
        <v>0</v>
      </c>
      <c r="L78" s="255">
        <f t="shared" si="24"/>
        <v>0</v>
      </c>
      <c r="M78" s="255">
        <f t="shared" si="24"/>
        <v>0</v>
      </c>
      <c r="N78" s="255">
        <f>+N45+N21</f>
        <v>0</v>
      </c>
      <c r="O78" s="255">
        <f>+O21+O45</f>
        <v>12911.45</v>
      </c>
      <c r="P78" s="252"/>
    </row>
    <row r="79" spans="1:16" ht="15">
      <c r="A79" s="581"/>
      <c r="B79" s="258" t="s">
        <v>169</v>
      </c>
      <c r="C79" s="255">
        <f t="shared" si="25"/>
        <v>0</v>
      </c>
      <c r="D79" s="255">
        <f t="shared" si="25"/>
        <v>6852.87</v>
      </c>
      <c r="E79" s="255">
        <f t="shared" si="22"/>
        <v>3357.87</v>
      </c>
      <c r="F79" s="255">
        <f>+F46+F22</f>
        <v>3363</v>
      </c>
      <c r="G79" s="255">
        <f>+G46+G22</f>
        <v>3581.88</v>
      </c>
      <c r="H79" s="255">
        <f t="shared" si="24"/>
        <v>3785.71</v>
      </c>
      <c r="I79" s="255">
        <f t="shared" si="24"/>
        <v>3628.917</v>
      </c>
      <c r="J79" s="255">
        <f t="shared" si="24"/>
        <v>3646.05</v>
      </c>
      <c r="K79" s="255">
        <f t="shared" si="24"/>
        <v>3508.08</v>
      </c>
      <c r="L79" s="255">
        <f t="shared" si="24"/>
        <v>3628.38</v>
      </c>
      <c r="M79" s="255">
        <f t="shared" si="24"/>
        <v>3079.65</v>
      </c>
      <c r="N79" s="255">
        <f>+N46+N22</f>
        <v>0</v>
      </c>
      <c r="O79" s="255">
        <f>+O22+O46</f>
        <v>38432.407</v>
      </c>
      <c r="P79" s="252"/>
    </row>
    <row r="80" spans="1:16" ht="15">
      <c r="A80" s="581"/>
      <c r="B80" s="258" t="s">
        <v>170</v>
      </c>
      <c r="C80" s="255">
        <f t="shared" si="25"/>
        <v>20.34</v>
      </c>
      <c r="D80" s="255">
        <f t="shared" si="25"/>
        <v>214.03</v>
      </c>
      <c r="E80" s="255">
        <f t="shared" si="22"/>
        <v>904.575</v>
      </c>
      <c r="F80" s="255">
        <f>+F47+F23+F56</f>
        <v>1695.57</v>
      </c>
      <c r="G80" s="255">
        <f>+G47+G23+G56</f>
        <v>119.3</v>
      </c>
      <c r="H80" s="255">
        <f t="shared" si="24"/>
        <v>990.72</v>
      </c>
      <c r="I80" s="255">
        <f t="shared" si="24"/>
        <v>279.17</v>
      </c>
      <c r="J80" s="255">
        <f t="shared" si="24"/>
        <v>80.835</v>
      </c>
      <c r="K80" s="255">
        <f t="shared" si="24"/>
        <v>250.85</v>
      </c>
      <c r="L80" s="255">
        <f t="shared" si="24"/>
        <v>465.02</v>
      </c>
      <c r="M80" s="255">
        <f t="shared" si="24"/>
        <v>120.6</v>
      </c>
      <c r="N80" s="255">
        <f>+N23+N47+N56</f>
        <v>0</v>
      </c>
      <c r="O80" s="255">
        <f>+O23+O47+O56</f>
        <v>5141.010000000002</v>
      </c>
      <c r="P80" s="252"/>
    </row>
    <row r="81" spans="1:16" ht="15">
      <c r="A81" s="581"/>
      <c r="B81" s="258" t="s">
        <v>212</v>
      </c>
      <c r="C81" s="255">
        <f t="shared" si="25"/>
        <v>0</v>
      </c>
      <c r="D81" s="255">
        <f t="shared" si="25"/>
        <v>0</v>
      </c>
      <c r="E81" s="255">
        <f t="shared" si="22"/>
        <v>0</v>
      </c>
      <c r="F81" s="255">
        <f>+F48+F24+F57</f>
        <v>0</v>
      </c>
      <c r="G81" s="255">
        <f>+G48+G24+G57</f>
        <v>0</v>
      </c>
      <c r="H81" s="255">
        <f t="shared" si="24"/>
        <v>0</v>
      </c>
      <c r="I81" s="255">
        <f t="shared" si="24"/>
        <v>0</v>
      </c>
      <c r="J81" s="255">
        <f t="shared" si="24"/>
        <v>0</v>
      </c>
      <c r="K81" s="255">
        <f t="shared" si="24"/>
        <v>0</v>
      </c>
      <c r="L81" s="255">
        <f t="shared" si="24"/>
        <v>0</v>
      </c>
      <c r="M81" s="255">
        <f t="shared" si="24"/>
        <v>0</v>
      </c>
      <c r="N81" s="255">
        <f>+N24+N48+N57</f>
        <v>0</v>
      </c>
      <c r="O81" s="255">
        <f>+O24+O48+O57</f>
        <v>0</v>
      </c>
      <c r="P81" s="252"/>
    </row>
    <row r="82" spans="1:16" ht="15">
      <c r="A82" s="581"/>
      <c r="B82" s="258" t="s">
        <v>163</v>
      </c>
      <c r="C82" s="255">
        <f>+C50+C26</f>
        <v>0</v>
      </c>
      <c r="D82" s="255">
        <f>+D50+D26</f>
        <v>0</v>
      </c>
      <c r="E82" s="255">
        <f>+E26+E50</f>
        <v>0</v>
      </c>
      <c r="F82" s="255">
        <f aca="true" t="shared" si="26" ref="F82:N82">+F50+F26</f>
        <v>0</v>
      </c>
      <c r="G82" s="255">
        <f t="shared" si="26"/>
        <v>0</v>
      </c>
      <c r="H82" s="255">
        <f t="shared" si="26"/>
        <v>0</v>
      </c>
      <c r="I82" s="255">
        <f t="shared" si="26"/>
        <v>163.669</v>
      </c>
      <c r="J82" s="255">
        <f t="shared" si="26"/>
        <v>152.552</v>
      </c>
      <c r="K82" s="255">
        <f t="shared" si="26"/>
        <v>0</v>
      </c>
      <c r="L82" s="255">
        <f t="shared" si="26"/>
        <v>0</v>
      </c>
      <c r="M82" s="255">
        <f t="shared" si="26"/>
        <v>0</v>
      </c>
      <c r="N82" s="255">
        <f t="shared" si="26"/>
        <v>0</v>
      </c>
      <c r="O82" s="255">
        <f>+O26+O50+O58</f>
        <v>316.221</v>
      </c>
      <c r="P82" s="252"/>
    </row>
    <row r="83" spans="1:16" ht="15">
      <c r="A83" s="582"/>
      <c r="B83" s="279" t="s">
        <v>164</v>
      </c>
      <c r="C83" s="278">
        <f>SUM(C76:C82)</f>
        <v>81.95</v>
      </c>
      <c r="D83" s="278">
        <f>SUM(D76:D82)</f>
        <v>7066.9</v>
      </c>
      <c r="E83" s="278">
        <f>SUM(E76:E82)</f>
        <v>17297.285</v>
      </c>
      <c r="F83" s="278">
        <f>SUM(F76:F82)</f>
        <v>5340.07</v>
      </c>
      <c r="G83" s="278">
        <f>+G51+G27</f>
        <v>5540.9800000000005</v>
      </c>
      <c r="H83" s="278">
        <f>+H51+H27</f>
        <v>8579.688</v>
      </c>
      <c r="I83" s="278">
        <f aca="true" t="shared" si="27" ref="I83:O83">SUM(I76:I82)</f>
        <v>8477.92</v>
      </c>
      <c r="J83" s="278">
        <f t="shared" si="27"/>
        <v>14572.871</v>
      </c>
      <c r="K83" s="278">
        <f t="shared" si="27"/>
        <v>22303.464</v>
      </c>
      <c r="L83" s="278">
        <f t="shared" si="27"/>
        <v>5192.498</v>
      </c>
      <c r="M83" s="278">
        <f t="shared" si="27"/>
        <v>5175.764</v>
      </c>
      <c r="N83" s="278">
        <f t="shared" si="27"/>
        <v>0</v>
      </c>
      <c r="O83" s="278">
        <f t="shared" si="27"/>
        <v>99629.39</v>
      </c>
      <c r="P83" s="252"/>
    </row>
    <row r="84" spans="1:16" ht="15">
      <c r="A84" s="43"/>
      <c r="B84" s="280" t="s">
        <v>174</v>
      </c>
      <c r="C84" s="278">
        <f>+C75+C83</f>
        <v>2512.1849999999995</v>
      </c>
      <c r="D84" s="278">
        <f>+D75+D83</f>
        <v>11893.408</v>
      </c>
      <c r="E84" s="278">
        <f>+E75+E83</f>
        <v>21818.554</v>
      </c>
      <c r="F84" s="278">
        <f>+F75+F83</f>
        <v>10234.323</v>
      </c>
      <c r="G84" s="278">
        <f>+G52+G28</f>
        <v>9944.311000000002</v>
      </c>
      <c r="H84" s="278">
        <f>+H52+H28</f>
        <v>15019.919</v>
      </c>
      <c r="I84" s="278">
        <f aca="true" t="shared" si="28" ref="I84:N84">+I75+I83</f>
        <v>14780.927</v>
      </c>
      <c r="J84" s="278">
        <f t="shared" si="28"/>
        <v>19957.532</v>
      </c>
      <c r="K84" s="278">
        <f t="shared" si="28"/>
        <v>36746.863</v>
      </c>
      <c r="L84" s="278">
        <f t="shared" si="28"/>
        <v>39603.081</v>
      </c>
      <c r="M84" s="278">
        <f t="shared" si="28"/>
        <v>22332.797</v>
      </c>
      <c r="N84" s="278">
        <f t="shared" si="28"/>
        <v>0</v>
      </c>
      <c r="O84" s="281">
        <f>+O83+O75</f>
        <v>204843.90000000002</v>
      </c>
      <c r="P84" s="252"/>
    </row>
    <row r="85" spans="1:16" ht="15">
      <c r="A85" s="43"/>
      <c r="B85" s="282"/>
      <c r="C85" s="283"/>
      <c r="D85" s="283"/>
      <c r="E85" s="283"/>
      <c r="F85" s="283"/>
      <c r="G85" s="284"/>
      <c r="H85" s="284"/>
      <c r="I85" s="284"/>
      <c r="J85" s="284"/>
      <c r="K85" s="284"/>
      <c r="L85" s="284"/>
      <c r="M85" s="284"/>
      <c r="N85" s="285"/>
      <c r="O85" s="282"/>
      <c r="P85" s="252"/>
    </row>
    <row r="86" spans="1:16" ht="15">
      <c r="A86" s="248"/>
      <c r="B86" s="43" t="s">
        <v>276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286" t="s">
        <v>175</v>
      </c>
      <c r="O86" s="287"/>
      <c r="P86" s="252"/>
    </row>
    <row r="87" spans="1:16" ht="15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</row>
  </sheetData>
  <sheetProtection/>
  <mergeCells count="9">
    <mergeCell ref="A76:A83"/>
    <mergeCell ref="A19:A28"/>
    <mergeCell ref="A31:A42"/>
    <mergeCell ref="A43:A52"/>
    <mergeCell ref="B2:O2"/>
    <mergeCell ref="N3:O3"/>
    <mergeCell ref="A6:A18"/>
    <mergeCell ref="A64:A75"/>
    <mergeCell ref="B60:O60"/>
  </mergeCells>
  <printOptions/>
  <pageMargins left="0.5" right="0.2" top="0.2" bottom="0.2" header="0.46" footer="0.5"/>
  <pageSetup horizontalDpi="600" verticalDpi="600" orientation="portrait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10">
      <selection activeCell="G9" sqref="G9"/>
    </sheetView>
  </sheetViews>
  <sheetFormatPr defaultColWidth="9.140625" defaultRowHeight="12.75"/>
  <cols>
    <col min="1" max="1" width="5.57421875" style="17" customWidth="1"/>
    <col min="2" max="2" width="10.57421875" style="17" customWidth="1"/>
    <col min="3" max="3" width="10.28125" style="17" customWidth="1"/>
    <col min="4" max="4" width="9.8515625" style="17" customWidth="1"/>
    <col min="5" max="5" width="9.140625" style="17" customWidth="1"/>
    <col min="6" max="6" width="10.57421875" style="17" customWidth="1"/>
    <col min="7" max="7" width="9.140625" style="17" customWidth="1"/>
    <col min="8" max="8" width="10.421875" style="17" customWidth="1"/>
    <col min="9" max="16384" width="9.140625" style="17" customWidth="1"/>
  </cols>
  <sheetData>
    <row r="2" spans="1:11" s="425" customFormat="1" ht="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425" customFormat="1" ht="15">
      <c r="A3" s="588" t="s">
        <v>27</v>
      </c>
      <c r="B3" s="588"/>
      <c r="C3" s="588"/>
      <c r="D3" s="588"/>
      <c r="E3" s="588"/>
      <c r="F3" s="588"/>
      <c r="G3" s="588"/>
      <c r="H3" s="588"/>
      <c r="I3" s="588"/>
      <c r="J3" s="588"/>
      <c r="K3" s="426"/>
    </row>
    <row r="4" spans="1:11" s="425" customFormat="1" ht="15.75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99"/>
    </row>
    <row r="5" spans="1:11" s="425" customFormat="1" ht="15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8"/>
    </row>
    <row r="6" spans="1:11" s="425" customFormat="1" ht="15.75">
      <c r="A6" s="589" t="s">
        <v>28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</row>
    <row r="7" spans="1:11" s="425" customFormat="1" ht="15">
      <c r="A7" s="427"/>
      <c r="B7" s="19"/>
      <c r="C7" s="19"/>
      <c r="D7" s="19"/>
      <c r="E7" s="19"/>
      <c r="F7" s="19"/>
      <c r="G7" s="429"/>
      <c r="H7" s="429"/>
      <c r="I7" s="429"/>
      <c r="J7" s="429"/>
      <c r="K7" s="430"/>
    </row>
    <row r="8" spans="1:11" ht="15">
      <c r="A8" s="18"/>
      <c r="B8" s="19"/>
      <c r="C8" s="19"/>
      <c r="D8" s="19"/>
      <c r="E8" s="19"/>
      <c r="F8" s="19"/>
      <c r="G8" s="22"/>
      <c r="H8" s="20"/>
      <c r="I8" t="s">
        <v>270</v>
      </c>
      <c r="J8" s="20"/>
      <c r="K8" s="21"/>
    </row>
    <row r="9" spans="1:11" ht="15.75">
      <c r="A9" s="23"/>
      <c r="B9" s="19"/>
      <c r="C9" s="19"/>
      <c r="D9" s="19"/>
      <c r="E9" s="19"/>
      <c r="F9" s="19"/>
      <c r="G9" s="20"/>
      <c r="H9" s="24"/>
      <c r="I9" s="18"/>
      <c r="J9" s="18"/>
      <c r="K9" s="20"/>
    </row>
    <row r="10" spans="1:11" ht="15">
      <c r="A10" s="20"/>
      <c r="B10" s="20"/>
      <c r="C10" s="20"/>
      <c r="D10" s="20"/>
      <c r="E10" s="20"/>
      <c r="F10" s="20"/>
      <c r="G10" s="20"/>
      <c r="H10" s="20"/>
      <c r="I10" s="18"/>
      <c r="J10" s="18"/>
      <c r="K10" s="25" t="s">
        <v>29</v>
      </c>
    </row>
    <row r="11" spans="1:11" ht="15">
      <c r="A11" s="26" t="s">
        <v>30</v>
      </c>
      <c r="B11" s="27"/>
      <c r="C11" s="27"/>
      <c r="D11" s="27">
        <v>3428.828</v>
      </c>
      <c r="E11" s="27"/>
      <c r="F11" s="27"/>
      <c r="G11" s="27"/>
      <c r="H11" s="28"/>
      <c r="I11" s="27"/>
      <c r="J11" s="29"/>
      <c r="K11" s="30"/>
    </row>
    <row r="12" spans="1:16" ht="15">
      <c r="A12" s="31" t="s">
        <v>31</v>
      </c>
      <c r="B12" s="31" t="s">
        <v>32</v>
      </c>
      <c r="C12" s="32" t="s">
        <v>33</v>
      </c>
      <c r="D12" s="33" t="s">
        <v>34</v>
      </c>
      <c r="E12" s="31" t="s">
        <v>35</v>
      </c>
      <c r="F12" s="31" t="s">
        <v>36</v>
      </c>
      <c r="G12" s="31" t="s">
        <v>37</v>
      </c>
      <c r="H12" s="34" t="s">
        <v>38</v>
      </c>
      <c r="I12" s="35" t="s">
        <v>39</v>
      </c>
      <c r="J12" s="36" t="s">
        <v>40</v>
      </c>
      <c r="K12" s="37" t="s">
        <v>41</v>
      </c>
      <c r="N12" s="424"/>
      <c r="O12" s="424"/>
      <c r="P12" s="424"/>
    </row>
    <row r="13" spans="1:16" ht="15">
      <c r="A13" s="309">
        <v>1</v>
      </c>
      <c r="B13" s="310">
        <v>2</v>
      </c>
      <c r="C13" s="309">
        <v>3</v>
      </c>
      <c r="D13" s="311">
        <v>4</v>
      </c>
      <c r="E13" s="312">
        <v>5</v>
      </c>
      <c r="F13" s="38">
        <v>6</v>
      </c>
      <c r="G13" s="39">
        <v>7</v>
      </c>
      <c r="H13" s="40" t="s">
        <v>42</v>
      </c>
      <c r="I13" s="40">
        <v>9</v>
      </c>
      <c r="J13" s="41">
        <v>10</v>
      </c>
      <c r="K13" s="42">
        <v>11</v>
      </c>
      <c r="N13" s="424"/>
      <c r="O13" s="424"/>
      <c r="P13" s="424"/>
    </row>
    <row r="14" spans="1:16" ht="15">
      <c r="A14" s="314">
        <v>1</v>
      </c>
      <c r="B14" s="308" t="s">
        <v>60</v>
      </c>
      <c r="C14" s="315">
        <v>12</v>
      </c>
      <c r="D14" s="315">
        <v>23</v>
      </c>
      <c r="E14" s="316" t="e">
        <f>SUM(#REF!)</f>
        <v>#REF!</v>
      </c>
      <c r="F14" s="48" t="e">
        <f>SUM(#REF!)+#REF!</f>
        <v>#REF!</v>
      </c>
      <c r="G14" s="48" t="e">
        <f>SUM(#REF!)</f>
        <v>#REF!</v>
      </c>
      <c r="H14" s="44" t="e">
        <f aca="true" t="shared" si="0" ref="H14:H24">SUM(E14:G14)</f>
        <v>#REF!</v>
      </c>
      <c r="I14" s="45">
        <v>71350</v>
      </c>
      <c r="J14" s="46">
        <v>57650</v>
      </c>
      <c r="K14" s="47" t="e">
        <f aca="true" t="shared" si="1" ref="K14:K22">J14-H14</f>
        <v>#REF!</v>
      </c>
      <c r="N14" s="424"/>
      <c r="O14" s="424"/>
      <c r="P14" s="424"/>
    </row>
    <row r="15" spans="1:16" ht="15">
      <c r="A15" s="314">
        <v>2</v>
      </c>
      <c r="B15" s="308" t="s">
        <v>62</v>
      </c>
      <c r="C15" s="315">
        <v>5</v>
      </c>
      <c r="D15" s="315">
        <v>7</v>
      </c>
      <c r="E15" s="316" t="e">
        <f>SUM(#REF!)</f>
        <v>#REF!</v>
      </c>
      <c r="F15" s="48" t="e">
        <f>SUM(#REF!)+#REF!</f>
        <v>#REF!</v>
      </c>
      <c r="G15" s="48" t="e">
        <f>SUM(#REF!)</f>
        <v>#REF!</v>
      </c>
      <c r="H15" s="44" t="e">
        <f t="shared" si="0"/>
        <v>#REF!</v>
      </c>
      <c r="I15" s="45">
        <v>18150</v>
      </c>
      <c r="J15" s="46">
        <v>16350</v>
      </c>
      <c r="K15" s="47" t="e">
        <f t="shared" si="1"/>
        <v>#REF!</v>
      </c>
      <c r="N15" s="424"/>
      <c r="O15" s="424"/>
      <c r="P15" s="424"/>
    </row>
    <row r="16" spans="1:16" ht="15">
      <c r="A16" s="314">
        <v>3</v>
      </c>
      <c r="B16" s="308" t="s">
        <v>64</v>
      </c>
      <c r="C16" s="315">
        <v>9</v>
      </c>
      <c r="D16" s="315">
        <v>12</v>
      </c>
      <c r="E16" s="316" t="e">
        <f>SUM(#REF!)</f>
        <v>#REF!</v>
      </c>
      <c r="F16" s="48" t="e">
        <f>SUM(#REF!)+#REF!</f>
        <v>#REF!</v>
      </c>
      <c r="G16" s="48" t="e">
        <f>SUM(#REF!)</f>
        <v>#REF!</v>
      </c>
      <c r="H16" s="44" t="e">
        <f t="shared" si="0"/>
        <v>#REF!</v>
      </c>
      <c r="I16" s="45">
        <v>20750</v>
      </c>
      <c r="J16" s="46">
        <v>16250</v>
      </c>
      <c r="K16" s="47" t="e">
        <f t="shared" si="1"/>
        <v>#REF!</v>
      </c>
      <c r="N16" s="424"/>
      <c r="O16" s="424"/>
      <c r="P16" s="424"/>
    </row>
    <row r="17" spans="1:16" ht="15">
      <c r="A17" s="314">
        <v>4</v>
      </c>
      <c r="B17" s="308" t="s">
        <v>66</v>
      </c>
      <c r="C17" s="315">
        <v>6</v>
      </c>
      <c r="D17" s="315">
        <v>7</v>
      </c>
      <c r="E17" s="316" t="e">
        <f>SUM(#REF!)</f>
        <v>#REF!</v>
      </c>
      <c r="F17" s="48" t="e">
        <f>SUM(#REF!)+#REF!</f>
        <v>#REF!</v>
      </c>
      <c r="G17" s="48" t="e">
        <f>SUM(#REF!)</f>
        <v>#REF!</v>
      </c>
      <c r="H17" s="44" t="e">
        <f t="shared" si="0"/>
        <v>#REF!</v>
      </c>
      <c r="I17" s="45">
        <v>7500</v>
      </c>
      <c r="J17" s="46">
        <v>7000</v>
      </c>
      <c r="K17" s="47" t="e">
        <f t="shared" si="1"/>
        <v>#REF!</v>
      </c>
      <c r="N17" s="424"/>
      <c r="O17" s="424"/>
      <c r="P17" s="424"/>
    </row>
    <row r="18" spans="1:11" ht="15">
      <c r="A18" s="314">
        <v>5</v>
      </c>
      <c r="B18" s="308" t="s">
        <v>68</v>
      </c>
      <c r="C18" s="315">
        <v>11</v>
      </c>
      <c r="D18" s="315">
        <v>19</v>
      </c>
      <c r="E18" s="316" t="e">
        <f>SUM(#REF!)</f>
        <v>#REF!</v>
      </c>
      <c r="F18" s="48" t="e">
        <f>SUM(#REF!)+#REF!</f>
        <v>#REF!</v>
      </c>
      <c r="G18" s="48" t="e">
        <f>SUM(#REF!)</f>
        <v>#REF!</v>
      </c>
      <c r="H18" s="44" t="e">
        <f t="shared" si="0"/>
        <v>#REF!</v>
      </c>
      <c r="I18" s="45">
        <v>34250</v>
      </c>
      <c r="J18" s="46">
        <v>31750</v>
      </c>
      <c r="K18" s="47" t="e">
        <f t="shared" si="1"/>
        <v>#REF!</v>
      </c>
    </row>
    <row r="19" spans="1:11" ht="15">
      <c r="A19" s="314">
        <v>6</v>
      </c>
      <c r="B19" s="308" t="s">
        <v>70</v>
      </c>
      <c r="C19" s="315">
        <v>5</v>
      </c>
      <c r="D19" s="315">
        <v>7</v>
      </c>
      <c r="E19" s="316" t="e">
        <f>SUM(#REF!)</f>
        <v>#REF!</v>
      </c>
      <c r="F19" s="48" t="e">
        <f>SUM(#REF!)+#REF!</f>
        <v>#REF!</v>
      </c>
      <c r="G19" s="48" t="e">
        <f>SUM(#REF!)</f>
        <v>#REF!</v>
      </c>
      <c r="H19" s="44" t="e">
        <f t="shared" si="0"/>
        <v>#REF!</v>
      </c>
      <c r="I19" s="45">
        <v>18500</v>
      </c>
      <c r="J19" s="46">
        <v>11750</v>
      </c>
      <c r="K19" s="47" t="e">
        <f t="shared" si="1"/>
        <v>#REF!</v>
      </c>
    </row>
    <row r="20" spans="1:11" ht="15">
      <c r="A20" s="314">
        <v>7</v>
      </c>
      <c r="B20" s="308" t="s">
        <v>72</v>
      </c>
      <c r="C20" s="315">
        <v>9</v>
      </c>
      <c r="D20" s="315">
        <v>11</v>
      </c>
      <c r="E20" s="316" t="e">
        <f>SUM(#REF!)</f>
        <v>#REF!</v>
      </c>
      <c r="F20" s="48" t="e">
        <f>SUM(#REF!)+#REF!</f>
        <v>#REF!</v>
      </c>
      <c r="G20" s="48" t="e">
        <f>SUM(#REF!)</f>
        <v>#REF!</v>
      </c>
      <c r="H20" s="44" t="e">
        <f t="shared" si="0"/>
        <v>#REF!</v>
      </c>
      <c r="I20" s="45">
        <v>62060</v>
      </c>
      <c r="J20" s="46">
        <v>44500</v>
      </c>
      <c r="K20" s="47" t="e">
        <f t="shared" si="1"/>
        <v>#REF!</v>
      </c>
    </row>
    <row r="21" spans="1:11" ht="15">
      <c r="A21" s="314">
        <v>8</v>
      </c>
      <c r="B21" s="308" t="s">
        <v>74</v>
      </c>
      <c r="C21" s="315">
        <v>9</v>
      </c>
      <c r="D21" s="315">
        <v>10</v>
      </c>
      <c r="E21" s="316" t="e">
        <f>SUM(#REF!)</f>
        <v>#REF!</v>
      </c>
      <c r="F21" s="50" t="e">
        <f>SUM(#REF!)+#REF!</f>
        <v>#REF!</v>
      </c>
      <c r="G21" s="48" t="e">
        <f>SUM(#REF!)</f>
        <v>#REF!</v>
      </c>
      <c r="H21" s="51" t="e">
        <f t="shared" si="0"/>
        <v>#REF!</v>
      </c>
      <c r="I21" s="52">
        <v>27000</v>
      </c>
      <c r="J21" s="53">
        <v>24000</v>
      </c>
      <c r="K21" s="54" t="e">
        <f t="shared" si="1"/>
        <v>#REF!</v>
      </c>
    </row>
    <row r="22" spans="1:11" ht="15">
      <c r="A22" s="55" t="s">
        <v>75</v>
      </c>
      <c r="B22" s="307"/>
      <c r="C22" s="317">
        <f>SUM(C14:C21)</f>
        <v>66</v>
      </c>
      <c r="D22" s="317">
        <f>SUM(D14:D21)</f>
        <v>96</v>
      </c>
      <c r="E22" s="313" t="e">
        <f>SUM(E14:E21)</f>
        <v>#REF!</v>
      </c>
      <c r="F22" s="56" t="e">
        <f>SUM(F14:F21)</f>
        <v>#REF!</v>
      </c>
      <c r="G22" s="56" t="e">
        <f>SUM(G14:G21)</f>
        <v>#REF!</v>
      </c>
      <c r="H22" s="57" t="e">
        <f t="shared" si="0"/>
        <v>#REF!</v>
      </c>
      <c r="I22" s="58">
        <f>SUM(I14:I21)</f>
        <v>259560</v>
      </c>
      <c r="J22" s="59">
        <f>SUM(J14:J21)</f>
        <v>209250</v>
      </c>
      <c r="K22" s="60" t="e">
        <f t="shared" si="1"/>
        <v>#REF!</v>
      </c>
    </row>
    <row r="23" spans="1:11" ht="15">
      <c r="A23" s="61" t="s">
        <v>76</v>
      </c>
      <c r="B23" s="62"/>
      <c r="C23" s="318"/>
      <c r="D23" s="319">
        <v>1</v>
      </c>
      <c r="E23" s="63"/>
      <c r="F23" s="56"/>
      <c r="G23" s="56" t="e">
        <f>SUM(#REF!)</f>
        <v>#REF!</v>
      </c>
      <c r="H23" s="64" t="e">
        <f t="shared" si="0"/>
        <v>#REF!</v>
      </c>
      <c r="I23" s="65">
        <v>25000</v>
      </c>
      <c r="J23" s="66">
        <v>25000</v>
      </c>
      <c r="K23" s="67" t="e">
        <f>J23-H23</f>
        <v>#REF!</v>
      </c>
    </row>
    <row r="24" spans="1:11" ht="15">
      <c r="A24" s="68" t="s">
        <v>77</v>
      </c>
      <c r="B24" s="69"/>
      <c r="C24" s="320">
        <f>+C23+C22</f>
        <v>66</v>
      </c>
      <c r="D24" s="320">
        <f>+D23+D22</f>
        <v>97</v>
      </c>
      <c r="E24" s="70" t="e">
        <f>SUM(E22:E23)</f>
        <v>#REF!</v>
      </c>
      <c r="F24" s="70" t="e">
        <f>SUM(F22:F23)</f>
        <v>#REF!</v>
      </c>
      <c r="G24" s="70" t="e">
        <f>SUM(G22:G23)</f>
        <v>#REF!</v>
      </c>
      <c r="H24" s="64" t="e">
        <f t="shared" si="0"/>
        <v>#REF!</v>
      </c>
      <c r="I24" s="71">
        <f>SUM(I22:I23)</f>
        <v>284560</v>
      </c>
      <c r="J24" s="72">
        <f>SUM(J22:J23)</f>
        <v>234250</v>
      </c>
      <c r="K24" s="67" t="e">
        <f>J24-H24</f>
        <v>#REF!</v>
      </c>
    </row>
    <row r="25" spans="1:11" ht="15">
      <c r="A25" s="73"/>
      <c r="B25" s="73"/>
      <c r="C25" s="73"/>
      <c r="D25" s="73"/>
      <c r="E25" s="73"/>
      <c r="F25" s="73"/>
      <c r="G25" s="73"/>
      <c r="H25" s="74"/>
      <c r="I25" s="73"/>
      <c r="J25" s="73"/>
      <c r="K25" s="73"/>
    </row>
    <row r="26" spans="1:11" ht="15">
      <c r="A26" s="75"/>
      <c r="B26" s="76"/>
      <c r="C26" s="77"/>
      <c r="D26" s="77"/>
      <c r="E26" s="78"/>
      <c r="F26" s="78"/>
      <c r="G26" s="78"/>
      <c r="H26" s="79"/>
      <c r="I26" s="80"/>
      <c r="J26" s="80"/>
      <c r="K26" s="80"/>
    </row>
    <row r="27" spans="1:11" ht="15">
      <c r="A27" s="81" t="s">
        <v>78</v>
      </c>
      <c r="B27" s="82"/>
      <c r="C27" s="83"/>
      <c r="D27" s="82"/>
      <c r="E27" s="82"/>
      <c r="F27" s="82"/>
      <c r="G27" s="82"/>
      <c r="H27" s="84"/>
      <c r="I27" s="84"/>
      <c r="J27" s="84"/>
      <c r="K27" s="85"/>
    </row>
    <row r="28" spans="1:11" ht="15">
      <c r="A28" s="86"/>
      <c r="B28" s="87"/>
      <c r="C28" s="87"/>
      <c r="D28" s="87"/>
      <c r="E28" s="88" t="s">
        <v>35</v>
      </c>
      <c r="F28" s="88" t="s">
        <v>36</v>
      </c>
      <c r="G28" s="88" t="s">
        <v>37</v>
      </c>
      <c r="H28" s="89" t="s">
        <v>79</v>
      </c>
      <c r="I28" s="90" t="s">
        <v>39</v>
      </c>
      <c r="J28" s="89" t="s">
        <v>40</v>
      </c>
      <c r="K28" s="90" t="s">
        <v>41</v>
      </c>
    </row>
    <row r="29" spans="1:11" ht="15">
      <c r="A29" s="61" t="s">
        <v>80</v>
      </c>
      <c r="B29" s="62"/>
      <c r="C29" s="91">
        <f>SUM(C24)</f>
        <v>66</v>
      </c>
      <c r="D29" s="91">
        <f aca="true" t="shared" si="2" ref="D29:K29">SUM(D24)</f>
        <v>97</v>
      </c>
      <c r="E29" s="91" t="e">
        <f t="shared" si="2"/>
        <v>#REF!</v>
      </c>
      <c r="F29" s="91" t="e">
        <f t="shared" si="2"/>
        <v>#REF!</v>
      </c>
      <c r="G29" s="91" t="e">
        <f t="shared" si="2"/>
        <v>#REF!</v>
      </c>
      <c r="H29" s="91" t="e">
        <f t="shared" si="2"/>
        <v>#REF!</v>
      </c>
      <c r="I29" s="91">
        <f t="shared" si="2"/>
        <v>284560</v>
      </c>
      <c r="J29" s="91">
        <f t="shared" si="2"/>
        <v>234250</v>
      </c>
      <c r="K29" s="91" t="e">
        <f t="shared" si="2"/>
        <v>#REF!</v>
      </c>
    </row>
    <row r="30" spans="1:11" ht="15">
      <c r="A30" s="49" t="s">
        <v>81</v>
      </c>
      <c r="B30" s="87"/>
      <c r="C30" s="92"/>
      <c r="D30" s="92">
        <v>1</v>
      </c>
      <c r="E30" s="93"/>
      <c r="F30" s="93"/>
      <c r="G30" s="93" t="e">
        <f>SUM(G23)</f>
        <v>#REF!</v>
      </c>
      <c r="H30" s="93" t="e">
        <f>SUM(H23)</f>
        <v>#REF!</v>
      </c>
      <c r="I30" s="93">
        <f>SUM(I23)</f>
        <v>25000</v>
      </c>
      <c r="J30" s="93">
        <f>SUM(J23)</f>
        <v>25000</v>
      </c>
      <c r="K30" s="93" t="e">
        <f>SUM(K23)</f>
        <v>#REF!</v>
      </c>
    </row>
    <row r="31" spans="1:11" ht="15">
      <c r="A31" s="94" t="s">
        <v>82</v>
      </c>
      <c r="B31" s="95"/>
      <c r="C31" s="96">
        <f aca="true" t="shared" si="3" ref="C31:J31">SUM(C29:C30)</f>
        <v>66</v>
      </c>
      <c r="D31" s="96">
        <f t="shared" si="3"/>
        <v>98</v>
      </c>
      <c r="E31" s="96" t="e">
        <f t="shared" si="3"/>
        <v>#REF!</v>
      </c>
      <c r="F31" s="96" t="e">
        <f t="shared" si="3"/>
        <v>#REF!</v>
      </c>
      <c r="G31" s="96" t="e">
        <f t="shared" si="3"/>
        <v>#REF!</v>
      </c>
      <c r="H31" s="96" t="e">
        <f t="shared" si="3"/>
        <v>#REF!</v>
      </c>
      <c r="I31" s="96">
        <f t="shared" si="3"/>
        <v>309560</v>
      </c>
      <c r="J31" s="96">
        <f t="shared" si="3"/>
        <v>259250</v>
      </c>
      <c r="K31" s="97" t="e">
        <f>J31-H31</f>
        <v>#REF!</v>
      </c>
    </row>
    <row r="32" spans="1:11" ht="15">
      <c r="A32" s="590" t="s">
        <v>83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</row>
    <row r="33" spans="1:11" ht="15.75">
      <c r="A33" s="75"/>
      <c r="B33" s="98"/>
      <c r="C33" s="76"/>
      <c r="D33" s="99"/>
      <c r="E33" s="76"/>
      <c r="F33" s="76"/>
      <c r="G33" s="76"/>
      <c r="H33" s="73"/>
      <c r="I33" s="73"/>
      <c r="J33" s="76"/>
      <c r="K33" s="76"/>
    </row>
    <row r="34" spans="1:11" ht="15">
      <c r="A34" s="100" t="s">
        <v>84</v>
      </c>
      <c r="B34" s="100" t="s">
        <v>85</v>
      </c>
      <c r="C34" s="100" t="s">
        <v>33</v>
      </c>
      <c r="D34" s="100" t="s">
        <v>86</v>
      </c>
      <c r="E34" s="101" t="s">
        <v>87</v>
      </c>
      <c r="F34" s="102" t="s">
        <v>36</v>
      </c>
      <c r="G34" s="103" t="s">
        <v>88</v>
      </c>
      <c r="H34" s="104" t="s">
        <v>38</v>
      </c>
      <c r="I34" s="105" t="s">
        <v>39</v>
      </c>
      <c r="J34" s="106" t="s">
        <v>40</v>
      </c>
      <c r="K34" s="107" t="s">
        <v>41</v>
      </c>
    </row>
    <row r="35" spans="1:11" ht="15">
      <c r="A35" s="108"/>
      <c r="B35" s="108"/>
      <c r="C35" s="108"/>
      <c r="D35" s="108" t="s">
        <v>89</v>
      </c>
      <c r="E35" s="109" t="s">
        <v>90</v>
      </c>
      <c r="F35" s="108"/>
      <c r="G35" s="110"/>
      <c r="H35" s="111"/>
      <c r="I35" s="112"/>
      <c r="J35" s="112"/>
      <c r="K35" s="112"/>
    </row>
    <row r="36" spans="1:11" ht="15">
      <c r="A36" s="113">
        <v>1</v>
      </c>
      <c r="B36" s="114">
        <v>2</v>
      </c>
      <c r="C36" s="113">
        <v>3</v>
      </c>
      <c r="D36" s="115" t="s">
        <v>91</v>
      </c>
      <c r="E36" s="116">
        <v>5</v>
      </c>
      <c r="F36" s="115">
        <v>6</v>
      </c>
      <c r="G36" s="117">
        <v>7</v>
      </c>
      <c r="H36" s="118" t="s">
        <v>42</v>
      </c>
      <c r="I36" s="118">
        <v>9</v>
      </c>
      <c r="J36" s="119">
        <v>10</v>
      </c>
      <c r="K36" s="120">
        <v>12</v>
      </c>
    </row>
    <row r="37" spans="1:11" ht="15">
      <c r="A37" s="121">
        <v>1</v>
      </c>
      <c r="B37" s="121" t="s">
        <v>64</v>
      </c>
      <c r="C37" s="122">
        <f aca="true" t="shared" si="4" ref="C37:K37">+C24</f>
        <v>66</v>
      </c>
      <c r="D37" s="122">
        <f t="shared" si="4"/>
        <v>97</v>
      </c>
      <c r="E37" s="122" t="e">
        <f>+F47</f>
        <v>#REF!</v>
      </c>
      <c r="F37" s="122" t="e">
        <f t="shared" si="4"/>
        <v>#REF!</v>
      </c>
      <c r="G37" s="122" t="e">
        <f t="shared" si="4"/>
        <v>#REF!</v>
      </c>
      <c r="H37" s="123" t="e">
        <f>SUM(E37:G37)</f>
        <v>#REF!</v>
      </c>
      <c r="I37" s="123">
        <f t="shared" si="4"/>
        <v>284560</v>
      </c>
      <c r="J37" s="123">
        <f t="shared" si="4"/>
        <v>234250</v>
      </c>
      <c r="K37" s="123" t="e">
        <f t="shared" si="4"/>
        <v>#REF!</v>
      </c>
    </row>
    <row r="38" spans="1:11" ht="15">
      <c r="A38" s="124" t="s">
        <v>92</v>
      </c>
      <c r="B38" s="125"/>
      <c r="C38" s="126">
        <f>SUM(C37:C37)</f>
        <v>66</v>
      </c>
      <c r="D38" s="126">
        <f>SUM(D37:D37)</f>
        <v>97</v>
      </c>
      <c r="E38" s="126" t="e">
        <f>SUM(E37:E37)</f>
        <v>#REF!</v>
      </c>
      <c r="F38" s="126" t="e">
        <f>SUM(F37:F37)</f>
        <v>#REF!</v>
      </c>
      <c r="G38" s="126" t="e">
        <f>SUM(G37:G37)</f>
        <v>#REF!</v>
      </c>
      <c r="H38" s="127" t="e">
        <f>SUM(E38:G38)</f>
        <v>#REF!</v>
      </c>
      <c r="I38" s="128">
        <f>SUM(I37:I37)</f>
        <v>284560</v>
      </c>
      <c r="J38" s="128">
        <f>SUM(J37:J37)</f>
        <v>234250</v>
      </c>
      <c r="K38" s="128" t="e">
        <f>SUM(K37:K37)</f>
        <v>#REF!</v>
      </c>
    </row>
    <row r="39" spans="1:11" ht="15">
      <c r="A39" s="121">
        <v>6</v>
      </c>
      <c r="B39" s="121" t="s">
        <v>93</v>
      </c>
      <c r="C39" s="129"/>
      <c r="D39" s="130"/>
      <c r="E39" s="131">
        <v>0</v>
      </c>
      <c r="F39" s="131"/>
      <c r="G39" s="131"/>
      <c r="H39" s="131"/>
      <c r="I39" s="132"/>
      <c r="J39" s="133"/>
      <c r="K39" s="134"/>
    </row>
    <row r="40" spans="1:11" ht="15">
      <c r="A40" s="121">
        <v>7</v>
      </c>
      <c r="B40" s="121" t="s">
        <v>94</v>
      </c>
      <c r="C40" s="129"/>
      <c r="D40" s="130"/>
      <c r="E40" s="131">
        <v>0</v>
      </c>
      <c r="F40" s="131"/>
      <c r="G40" s="131"/>
      <c r="H40" s="131"/>
      <c r="I40" s="135"/>
      <c r="J40" s="136"/>
      <c r="K40" s="137"/>
    </row>
    <row r="41" spans="1:11" ht="15">
      <c r="A41" s="121"/>
      <c r="B41" s="121" t="s">
        <v>95</v>
      </c>
      <c r="C41" s="138"/>
      <c r="D41" s="139"/>
      <c r="E41" s="126">
        <f>SUM(E39:E40)</f>
        <v>0</v>
      </c>
      <c r="F41" s="131"/>
      <c r="G41" s="131"/>
      <c r="H41" s="131"/>
      <c r="I41" s="140"/>
      <c r="J41" s="141"/>
      <c r="K41" s="142"/>
    </row>
    <row r="42" spans="1:11" ht="15">
      <c r="A42" s="124"/>
      <c r="B42" s="125" t="s">
        <v>96</v>
      </c>
      <c r="C42" s="138"/>
      <c r="D42" s="139"/>
      <c r="E42" s="126"/>
      <c r="F42" s="131"/>
      <c r="G42" s="131"/>
      <c r="H42" s="131"/>
      <c r="I42" s="143"/>
      <c r="J42" s="144"/>
      <c r="K42" s="145"/>
    </row>
    <row r="43" spans="1:11" ht="15">
      <c r="A43" s="146" t="s">
        <v>97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</row>
    <row r="44" spans="1:11" ht="15">
      <c r="A44" s="146"/>
      <c r="B44" s="147"/>
      <c r="C44" s="147"/>
      <c r="D44" s="147"/>
      <c r="E44" s="147"/>
      <c r="F44" s="147"/>
      <c r="G44" s="147"/>
      <c r="H44" s="148" t="s">
        <v>98</v>
      </c>
      <c r="I44" s="148"/>
      <c r="J44" s="149"/>
      <c r="K44" s="147"/>
    </row>
    <row r="45" spans="1:11" ht="15">
      <c r="A45" s="150"/>
      <c r="B45" s="150"/>
      <c r="C45" s="150"/>
      <c r="D45" s="150"/>
      <c r="E45" s="150"/>
      <c r="F45" s="147"/>
      <c r="G45" s="147"/>
      <c r="H45" s="151" t="s">
        <v>99</v>
      </c>
      <c r="I45" s="591" t="s">
        <v>99</v>
      </c>
      <c r="J45" s="591"/>
      <c r="K45" s="591"/>
    </row>
    <row r="46" spans="1:11" ht="15">
      <c r="A46" s="150"/>
      <c r="B46" s="150"/>
      <c r="C46" s="150"/>
      <c r="D46" s="150"/>
      <c r="E46" s="150" t="s">
        <v>87</v>
      </c>
      <c r="F46" s="147" t="s">
        <v>100</v>
      </c>
      <c r="G46" s="147"/>
      <c r="H46" s="150"/>
      <c r="I46" s="150"/>
      <c r="J46" s="150"/>
      <c r="K46" s="150"/>
    </row>
    <row r="47" spans="1:11" ht="15">
      <c r="A47" s="146"/>
      <c r="B47" s="147"/>
      <c r="C47" s="147"/>
      <c r="D47" s="147"/>
      <c r="E47" s="152" t="e">
        <f>+E24</f>
        <v>#REF!</v>
      </c>
      <c r="F47" s="153" t="e">
        <f aca="true" t="shared" si="5" ref="F47:F53">+E47*41.08/60</f>
        <v>#REF!</v>
      </c>
      <c r="G47" s="147"/>
      <c r="H47" s="148"/>
      <c r="I47" s="149"/>
      <c r="J47" s="149"/>
      <c r="K47" s="147"/>
    </row>
    <row r="48" spans="1:11" ht="15">
      <c r="A48" s="154"/>
      <c r="B48" s="150"/>
      <c r="C48" s="150"/>
      <c r="D48" s="150"/>
      <c r="E48" s="155" t="e">
        <f>+#REF!</f>
        <v>#REF!</v>
      </c>
      <c r="F48" s="153" t="e">
        <f t="shared" si="5"/>
        <v>#REF!</v>
      </c>
      <c r="G48" s="150"/>
      <c r="H48" s="151"/>
      <c r="I48" s="149"/>
      <c r="J48" s="149"/>
      <c r="K48" s="149"/>
    </row>
    <row r="49" spans="1:11" ht="15">
      <c r="A49" s="156"/>
      <c r="B49" s="157"/>
      <c r="C49" s="157"/>
      <c r="D49" s="157"/>
      <c r="E49" s="158" t="e">
        <f>+#REF!</f>
        <v>#REF!</v>
      </c>
      <c r="F49" s="153" t="e">
        <f t="shared" si="5"/>
        <v>#REF!</v>
      </c>
      <c r="G49" s="157"/>
      <c r="H49" s="157"/>
      <c r="I49" s="157"/>
      <c r="J49" s="157"/>
      <c r="K49" s="157"/>
    </row>
    <row r="50" spans="1:11" ht="15">
      <c r="A50" s="156"/>
      <c r="B50" s="157"/>
      <c r="C50" s="157"/>
      <c r="D50" s="157"/>
      <c r="E50" s="158" t="e">
        <f>+#REF!</f>
        <v>#REF!</v>
      </c>
      <c r="F50" s="153" t="e">
        <f t="shared" si="5"/>
        <v>#REF!</v>
      </c>
      <c r="G50" s="157"/>
      <c r="H50" s="157"/>
      <c r="I50" s="157"/>
      <c r="J50" s="157"/>
      <c r="K50" s="157"/>
    </row>
    <row r="51" spans="1:11" ht="15">
      <c r="A51"/>
      <c r="B51" s="159"/>
      <c r="C51" s="159"/>
      <c r="D51" s="159"/>
      <c r="E51" s="160" t="e">
        <f>+#REF!</f>
        <v>#REF!</v>
      </c>
      <c r="F51" s="153" t="e">
        <f t="shared" si="5"/>
        <v>#REF!</v>
      </c>
      <c r="G51" s="159"/>
      <c r="H51" s="159"/>
      <c r="I51" s="159"/>
      <c r="J51" s="159"/>
      <c r="K51" s="159"/>
    </row>
    <row r="52" spans="1:11" ht="15">
      <c r="A52" s="156"/>
      <c r="B52" s="157"/>
      <c r="C52" s="157"/>
      <c r="D52" s="157"/>
      <c r="E52" s="158" t="e">
        <f>+#REF!</f>
        <v>#REF!</v>
      </c>
      <c r="F52" s="153" t="e">
        <f t="shared" si="5"/>
        <v>#REF!</v>
      </c>
      <c r="G52" s="157"/>
      <c r="H52" s="157"/>
      <c r="I52" s="157"/>
      <c r="J52" s="157"/>
      <c r="K52" s="157"/>
    </row>
    <row r="53" spans="1:11" ht="15">
      <c r="A53" s="156"/>
      <c r="B53" s="157"/>
      <c r="C53" s="157"/>
      <c r="D53" s="157"/>
      <c r="E53" s="158" t="e">
        <f>SUM(E47:E52)</f>
        <v>#REF!</v>
      </c>
      <c r="F53" s="153" t="e">
        <f t="shared" si="5"/>
        <v>#REF!</v>
      </c>
      <c r="G53" s="157"/>
      <c r="H53" s="157"/>
      <c r="I53" s="157"/>
      <c r="J53" s="157"/>
      <c r="K53" s="157"/>
    </row>
    <row r="54" spans="1:11" ht="1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</row>
  </sheetData>
  <sheetProtection/>
  <mergeCells count="4">
    <mergeCell ref="A3:J3"/>
    <mergeCell ref="A6:K6"/>
    <mergeCell ref="A32:K32"/>
    <mergeCell ref="I45:K45"/>
  </mergeCells>
  <printOptions/>
  <pageMargins left="0.25" right="0.25" top="0.5" bottom="0.5" header="0.5" footer="0.5"/>
  <pageSetup horizontalDpi="600" verticalDpi="600" orientation="portrait" paperSize="5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8515625" style="0" customWidth="1"/>
    <col min="2" max="2" width="7.28125" style="0" customWidth="1"/>
    <col min="3" max="3" width="15.7109375" style="0" customWidth="1"/>
    <col min="4" max="4" width="4.57421875" style="0" customWidth="1"/>
    <col min="5" max="5" width="9.421875" style="0" customWidth="1"/>
    <col min="6" max="6" width="4.8515625" style="0" customWidth="1"/>
    <col min="8" max="8" width="4.8515625" style="0" customWidth="1"/>
    <col min="10" max="10" width="3.421875" style="0" customWidth="1"/>
  </cols>
  <sheetData>
    <row r="2" spans="1:11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2.75">
      <c r="A3" s="593" t="s">
        <v>101</v>
      </c>
      <c r="B3" s="594"/>
      <c r="C3" s="594"/>
      <c r="D3" s="594"/>
      <c r="E3" s="594"/>
      <c r="F3" s="594"/>
      <c r="G3" s="594"/>
      <c r="H3" s="594"/>
      <c r="I3" s="594"/>
      <c r="J3" s="594"/>
      <c r="K3" s="162"/>
    </row>
    <row r="4" spans="1:11" ht="12.75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1" ht="15.75">
      <c r="A5" s="166" t="s">
        <v>99</v>
      </c>
      <c r="B5" s="157"/>
      <c r="C5" s="157"/>
      <c r="D5" s="157"/>
      <c r="E5" s="157"/>
      <c r="F5" s="157"/>
      <c r="G5" s="595" t="s">
        <v>249</v>
      </c>
      <c r="H5" s="596"/>
      <c r="I5" s="596"/>
      <c r="J5" s="596"/>
      <c r="K5" s="597"/>
    </row>
    <row r="6" spans="1:11" ht="12.75">
      <c r="A6" s="166"/>
      <c r="B6" s="167"/>
      <c r="C6" s="168"/>
      <c r="D6" s="169"/>
      <c r="E6" s="170"/>
      <c r="F6" s="170"/>
      <c r="G6" s="171"/>
      <c r="H6" s="171"/>
      <c r="I6" s="167"/>
      <c r="J6" s="171"/>
      <c r="K6" s="171"/>
    </row>
    <row r="7" spans="1:11" ht="12.75">
      <c r="A7" s="172"/>
      <c r="B7" s="173"/>
      <c r="C7" s="174"/>
      <c r="D7" s="173"/>
      <c r="E7" s="175"/>
      <c r="F7" s="175"/>
      <c r="G7" s="176"/>
      <c r="H7" s="176"/>
      <c r="I7" s="157"/>
      <c r="J7" s="157"/>
      <c r="K7" s="177"/>
    </row>
    <row r="8" spans="1:11" ht="12.75">
      <c r="A8" s="172"/>
      <c r="B8" s="178"/>
      <c r="C8" s="178"/>
      <c r="D8" s="178"/>
      <c r="E8" s="178"/>
      <c r="F8" s="178"/>
      <c r="G8" s="178"/>
      <c r="H8" s="178"/>
      <c r="I8" s="178"/>
      <c r="J8" s="179" t="s">
        <v>102</v>
      </c>
      <c r="K8" s="178"/>
    </row>
    <row r="9" spans="1:14" ht="15.75">
      <c r="A9" s="367" t="s">
        <v>85</v>
      </c>
      <c r="B9" s="367" t="s">
        <v>31</v>
      </c>
      <c r="C9" s="367" t="s">
        <v>32</v>
      </c>
      <c r="D9" s="598" t="s">
        <v>36</v>
      </c>
      <c r="E9" s="599"/>
      <c r="F9" s="598" t="s">
        <v>35</v>
      </c>
      <c r="G9" s="599"/>
      <c r="H9" s="598" t="s">
        <v>103</v>
      </c>
      <c r="I9" s="599"/>
      <c r="J9" s="598" t="s">
        <v>104</v>
      </c>
      <c r="K9" s="599"/>
      <c r="N9" s="420"/>
    </row>
    <row r="10" spans="1:15" ht="15.75">
      <c r="A10" s="600"/>
      <c r="B10" s="361">
        <v>1</v>
      </c>
      <c r="C10" s="362" t="s">
        <v>60</v>
      </c>
      <c r="D10" s="290"/>
      <c r="E10" s="363">
        <v>3000</v>
      </c>
      <c r="F10" s="368"/>
      <c r="G10" s="363">
        <v>1850</v>
      </c>
      <c r="H10" s="364"/>
      <c r="I10" s="363">
        <v>2400</v>
      </c>
      <c r="J10" s="364"/>
      <c r="K10" s="363">
        <v>3000</v>
      </c>
      <c r="M10" s="305"/>
      <c r="N10" s="420"/>
      <c r="O10" s="305"/>
    </row>
    <row r="11" spans="1:15" ht="15.75">
      <c r="A11" s="600"/>
      <c r="B11" s="361">
        <v>2</v>
      </c>
      <c r="C11" s="362" t="s">
        <v>62</v>
      </c>
      <c r="D11" s="368"/>
      <c r="E11" s="363">
        <v>2910</v>
      </c>
      <c r="F11" s="364"/>
      <c r="G11" s="363">
        <v>1815</v>
      </c>
      <c r="H11" s="364"/>
      <c r="I11" s="363">
        <v>2280</v>
      </c>
      <c r="J11" s="364"/>
      <c r="K11" s="363">
        <v>2900</v>
      </c>
      <c r="M11" s="305"/>
      <c r="N11" s="420"/>
      <c r="O11" s="305"/>
    </row>
    <row r="12" spans="1:15" ht="15.75">
      <c r="A12" s="600"/>
      <c r="B12" s="361">
        <v>3</v>
      </c>
      <c r="C12" s="362" t="s">
        <v>64</v>
      </c>
      <c r="D12" s="364"/>
      <c r="E12" s="363">
        <v>3000</v>
      </c>
      <c r="F12" s="364"/>
      <c r="G12" s="363">
        <v>1860</v>
      </c>
      <c r="H12" s="364"/>
      <c r="I12" s="363">
        <v>2530</v>
      </c>
      <c r="J12" s="364"/>
      <c r="K12" s="363">
        <v>2920</v>
      </c>
      <c r="M12" s="305"/>
      <c r="N12" s="420"/>
      <c r="O12" s="305"/>
    </row>
    <row r="13" spans="1:11" ht="15.75">
      <c r="A13" s="600"/>
      <c r="B13" s="361">
        <v>4</v>
      </c>
      <c r="C13" s="362" t="s">
        <v>66</v>
      </c>
      <c r="D13" s="364"/>
      <c r="E13" s="363">
        <v>3008</v>
      </c>
      <c r="F13" s="368"/>
      <c r="G13" s="363">
        <v>1858</v>
      </c>
      <c r="H13" s="365"/>
      <c r="I13" s="363">
        <v>2443</v>
      </c>
      <c r="J13" s="366"/>
      <c r="K13" s="363">
        <v>3000</v>
      </c>
    </row>
    <row r="14" spans="1:11" ht="15.75">
      <c r="A14" s="600"/>
      <c r="B14" s="361">
        <v>5</v>
      </c>
      <c r="C14" s="362" t="s">
        <v>68</v>
      </c>
      <c r="D14" s="368"/>
      <c r="E14" s="363">
        <v>3086</v>
      </c>
      <c r="F14" s="364"/>
      <c r="G14" s="363">
        <v>1875</v>
      </c>
      <c r="H14" s="364"/>
      <c r="I14" s="363">
        <v>2440</v>
      </c>
      <c r="J14" s="364"/>
      <c r="K14" s="363">
        <v>3031</v>
      </c>
    </row>
    <row r="15" spans="1:11" ht="15.75">
      <c r="A15" s="600"/>
      <c r="B15" s="361">
        <v>6</v>
      </c>
      <c r="C15" s="362" t="s">
        <v>70</v>
      </c>
      <c r="D15" s="364"/>
      <c r="E15" s="363">
        <v>2920</v>
      </c>
      <c r="F15" s="364"/>
      <c r="G15" s="363">
        <v>1840</v>
      </c>
      <c r="H15" s="364"/>
      <c r="I15" s="363">
        <v>2680</v>
      </c>
      <c r="J15" s="364"/>
      <c r="K15" s="363">
        <v>3000</v>
      </c>
    </row>
    <row r="16" spans="1:11" ht="15.75">
      <c r="A16" s="600"/>
      <c r="B16" s="361">
        <v>7</v>
      </c>
      <c r="C16" s="362" t="s">
        <v>72</v>
      </c>
      <c r="D16" s="364"/>
      <c r="E16" s="363">
        <v>3192</v>
      </c>
      <c r="F16" s="368"/>
      <c r="G16" s="363">
        <v>1996</v>
      </c>
      <c r="H16" s="364"/>
      <c r="I16" s="363">
        <v>2396</v>
      </c>
      <c r="J16" s="364"/>
      <c r="K16" s="363">
        <v>3004</v>
      </c>
    </row>
    <row r="17" spans="1:11" ht="15.75">
      <c r="A17" s="600"/>
      <c r="B17" s="361">
        <v>8</v>
      </c>
      <c r="C17" s="362" t="s">
        <v>74</v>
      </c>
      <c r="D17" s="364"/>
      <c r="E17" s="363">
        <v>3260</v>
      </c>
      <c r="F17" s="368"/>
      <c r="G17" s="363">
        <v>2185</v>
      </c>
      <c r="H17" s="290"/>
      <c r="I17" s="363">
        <v>2475</v>
      </c>
      <c r="J17" s="363"/>
      <c r="K17" s="363">
        <v>3175</v>
      </c>
    </row>
    <row r="18" spans="1:11" ht="15.75">
      <c r="A18" s="592" t="s">
        <v>213</v>
      </c>
      <c r="B18" s="592"/>
      <c r="C18" s="592"/>
      <c r="D18" s="369"/>
      <c r="E18" s="422">
        <f>SUM(E10:E17)/8</f>
        <v>3047</v>
      </c>
      <c r="F18" s="421"/>
      <c r="G18" s="422">
        <f>SUM(G10:G17)/8</f>
        <v>1909.875</v>
      </c>
      <c r="H18" s="421"/>
      <c r="I18" s="422">
        <f>SUM(I10:I17)/8</f>
        <v>2455.5</v>
      </c>
      <c r="J18" s="421"/>
      <c r="K18" s="422">
        <f>SUM(K10:K17)/8</f>
        <v>3003.75</v>
      </c>
    </row>
    <row r="22" spans="4:12" ht="12.75">
      <c r="D22" s="305"/>
      <c r="E22" s="305"/>
      <c r="F22" s="305"/>
      <c r="G22" s="305"/>
      <c r="H22" s="305"/>
      <c r="I22" s="305"/>
      <c r="J22" s="305"/>
      <c r="K22" s="305"/>
      <c r="L22" s="305"/>
    </row>
    <row r="23" spans="4:12" ht="12.75">
      <c r="D23" s="305"/>
      <c r="E23" s="321"/>
      <c r="F23" s="305"/>
      <c r="G23" s="321"/>
      <c r="H23" s="322"/>
      <c r="I23" s="321"/>
      <c r="J23" s="322"/>
      <c r="K23" s="321"/>
      <c r="L23" s="305"/>
    </row>
    <row r="24" spans="4:12" ht="12.75">
      <c r="D24" s="305"/>
      <c r="E24" s="321"/>
      <c r="F24" s="322"/>
      <c r="G24" s="321"/>
      <c r="H24" s="322"/>
      <c r="I24" s="321"/>
      <c r="J24" s="322"/>
      <c r="K24" s="321"/>
      <c r="L24" s="305"/>
    </row>
    <row r="25" spans="4:12" ht="12.75">
      <c r="D25" s="305"/>
      <c r="E25" s="305"/>
      <c r="F25" s="305"/>
      <c r="G25" s="305"/>
      <c r="H25" s="305"/>
      <c r="I25" s="305"/>
      <c r="J25" s="305"/>
      <c r="K25" s="305"/>
      <c r="L25" s="305"/>
    </row>
    <row r="26" spans="4:12" ht="12.75">
      <c r="D26" s="305"/>
      <c r="E26" s="305"/>
      <c r="F26" s="305"/>
      <c r="G26" s="305"/>
      <c r="H26" s="305"/>
      <c r="I26" s="305"/>
      <c r="J26" s="305"/>
      <c r="K26" s="305"/>
      <c r="L26" s="305"/>
    </row>
  </sheetData>
  <sheetProtection/>
  <mergeCells count="8">
    <mergeCell ref="A18:C18"/>
    <mergeCell ref="A3:J3"/>
    <mergeCell ref="G5:K5"/>
    <mergeCell ref="D9:E9"/>
    <mergeCell ref="F9:G9"/>
    <mergeCell ref="H9:I9"/>
    <mergeCell ref="J9:K9"/>
    <mergeCell ref="A10:A17"/>
  </mergeCells>
  <printOptions/>
  <pageMargins left="0.5" right="0.5" top="0.5" bottom="0.5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Rajrcfws1</dc:creator>
  <cp:keywords/>
  <dc:description/>
  <cp:lastModifiedBy>RAJRCF</cp:lastModifiedBy>
  <cp:lastPrinted>2020-07-22T11:44:44Z</cp:lastPrinted>
  <dcterms:created xsi:type="dcterms:W3CDTF">2005-03-29T03:55:04Z</dcterms:created>
  <dcterms:modified xsi:type="dcterms:W3CDTF">2020-07-22T11:46:42Z</dcterms:modified>
  <cp:category/>
  <cp:version/>
  <cp:contentType/>
  <cp:contentStatus/>
</cp:coreProperties>
</file>